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3, 2024, 2025\Фінплан 2026\"/>
    </mc:Choice>
  </mc:AlternateContent>
  <workbookProtection workbookAlgorithmName="SHA-512" workbookHashValue="nIJt+HdUsOW/thVeXFZDjzPluz/1c7la9pXZva9pnaG4S8/QlgC/oRI3dMYKKhXx/Ck/s5e7dlSAFM8OlqSfpA==" workbookSaltValue="n+o3+YLcTxtF1WNcvkKuxw==" workbookSpinCount="100000" lockStructure="1"/>
  <bookViews>
    <workbookView xWindow="-120" yWindow="-120" windowWidth="29040" windowHeight="15840" tabRatio="838" firstSheet="6" activeTab="14"/>
  </bookViews>
  <sheets>
    <sheet name="Осн. фін. пок." sheetId="14" r:id="rId1"/>
    <sheet name="I. Фін результат" sheetId="20" r:id="rId2"/>
    <sheet name="Розшифровка до Формування" sheetId="22" r:id="rId3"/>
    <sheet name="ІІ. Розр. з бюджетом" sheetId="19" r:id="rId4"/>
    <sheet name="ІІІ. Рух грош. коштів" sheetId="18" r:id="rId5"/>
    <sheet name="Розшифровка до Руху" sheetId="23" r:id="rId6"/>
    <sheet name="IV. Кап. інвестиції" sheetId="3" r:id="rId7"/>
    <sheet name="Розшифровка кап" sheetId="24" r:id="rId8"/>
    <sheet name=" V. Коефіцієнти" sheetId="11" r:id="rId9"/>
    <sheet name="6.1. Інша інфо_1" sheetId="10" r:id="rId10"/>
    <sheet name="6.2. Інша інфо_2" sheetId="9" r:id="rId11"/>
    <sheet name="VII Статутн капіт" sheetId="21" r:id="rId12"/>
    <sheet name="Розшифровка статутний" sheetId="25" r:id="rId13"/>
    <sheet name="кредити" sheetId="26" r:id="rId14"/>
    <sheet name="Аналіз" sheetId="2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14">[6]Inform!$E$6</definedName>
    <definedName name="ClDate">[7]Inform!$E$6</definedName>
    <definedName name="ClDate_21">[8]Inform!$E$6</definedName>
    <definedName name="ClDate_25">[8]Inform!$E$6</definedName>
    <definedName name="ClDate_6" localSheetId="14">[9]Inform!$E$6</definedName>
    <definedName name="ClDate_6">[10]Inform!$E$6</definedName>
    <definedName name="CompName" localSheetId="14">[6]Inform!$F$2</definedName>
    <definedName name="CompName">[7]Inform!$F$2</definedName>
    <definedName name="CompName_21">[8]Inform!$F$2</definedName>
    <definedName name="CompName_25">[8]Inform!$F$2</definedName>
    <definedName name="CompName_6" localSheetId="14">[9]Inform!$F$2</definedName>
    <definedName name="CompName_6">[10]Inform!$F$2</definedName>
    <definedName name="CompNameE" localSheetId="14">[6]Inform!$G$2</definedName>
    <definedName name="CompNameE">[7]Inform!$G$2</definedName>
    <definedName name="CompNameE_21">[8]Inform!$G$2</definedName>
    <definedName name="CompNameE_25">[8]Inform!$G$2</definedName>
    <definedName name="CompNameE_6" localSheetId="14">[9]Inform!$G$2</definedName>
    <definedName name="CompNameE_6">[10]Inform!$G$2</definedName>
    <definedName name="Cost_Category_National_ID" localSheetId="14">#REF!</definedName>
    <definedName name="Cost_Category_National_ID">#REF!</definedName>
    <definedName name="Cе511" localSheetId="14">#REF!</definedName>
    <definedName name="Cе511">#REF!</definedName>
    <definedName name="d">'[11]МТР Газ України'!$B$4</definedName>
    <definedName name="dCPIb">[12]попер_роз!#REF!</definedName>
    <definedName name="dPPIb">[12]попер_роз!#REF!</definedName>
    <definedName name="ds">'[13]7  Інші витрати'!#REF!</definedName>
    <definedName name="Fact_Type_ID" localSheetId="14">#REF!</definedName>
    <definedName name="Fact_Type_ID">#REF!</definedName>
    <definedName name="G">'[14]МТР Газ України'!$B$1</definedName>
    <definedName name="ij1sssss">'[15]7  Інші витрати'!#REF!</definedName>
    <definedName name="LastItem" localSheetId="14">[16]Лист1!$A$1</definedName>
    <definedName name="LastItem">[17]Лист1!$A$1</definedName>
    <definedName name="Load">'[18]МТР Газ України'!$B$4</definedName>
    <definedName name="Load_ID" localSheetId="14">'[19]МТР Газ України'!$B$4</definedName>
    <definedName name="Load_ID">'[20]МТР Газ України'!$B$4</definedName>
    <definedName name="Load_ID_10" localSheetId="14">'[21]7  Інші витрати'!#REF!</definedName>
    <definedName name="Load_ID_10">'[22]7  Інші витрати'!#REF!</definedName>
    <definedName name="Load_ID_11" localSheetId="14">'[23]МТР Газ України'!$B$4</definedName>
    <definedName name="Load_ID_11">'[24]МТР Газ України'!$B$4</definedName>
    <definedName name="Load_ID_12" localSheetId="14">'[23]МТР Газ України'!$B$4</definedName>
    <definedName name="Load_ID_12">'[24]МТР Газ України'!$B$4</definedName>
    <definedName name="Load_ID_13" localSheetId="14">'[23]МТР Газ України'!$B$4</definedName>
    <definedName name="Load_ID_13">'[24]МТР Газ України'!$B$4</definedName>
    <definedName name="Load_ID_14" localSheetId="14">'[23]МТР Газ України'!$B$4</definedName>
    <definedName name="Load_ID_14">'[24]МТР Газ України'!$B$4</definedName>
    <definedName name="Load_ID_15" localSheetId="14">'[23]МТР Газ України'!$B$4</definedName>
    <definedName name="Load_ID_15">'[24]МТР Газ України'!$B$4</definedName>
    <definedName name="Load_ID_16" localSheetId="14">'[23]МТР Газ України'!$B$4</definedName>
    <definedName name="Load_ID_16">'[24]МТР Газ України'!$B$4</definedName>
    <definedName name="Load_ID_17" localSheetId="14">'[23]МТР Газ України'!$B$4</definedName>
    <definedName name="Load_ID_17">'[24]МТР Газ України'!$B$4</definedName>
    <definedName name="Load_ID_18" localSheetId="14">'[25]МТР Газ України'!$B$4</definedName>
    <definedName name="Load_ID_18">'[26]МТР Газ України'!$B$4</definedName>
    <definedName name="Load_ID_19" localSheetId="14">'[27]МТР Газ України'!$B$4</definedName>
    <definedName name="Load_ID_19">'[28]МТР Газ України'!$B$4</definedName>
    <definedName name="Load_ID_20" localSheetId="14">'[25]МТР Газ України'!$B$4</definedName>
    <definedName name="Load_ID_20">'[26]МТР Газ України'!$B$4</definedName>
    <definedName name="Load_ID_200">'[18]МТР Газ України'!$B$4</definedName>
    <definedName name="Load_ID_21">'[29]МТР Газ України'!$B$4</definedName>
    <definedName name="Load_ID_23" localSheetId="14">'[27]МТР Газ України'!$B$4</definedName>
    <definedName name="Load_ID_23">'[28]МТР Газ України'!$B$4</definedName>
    <definedName name="Load_ID_25">'[29]МТР Газ України'!$B$4</definedName>
    <definedName name="Load_ID_542">'[30]МТР Газ України'!$B$4</definedName>
    <definedName name="Load_ID_6" localSheetId="14">'[23]МТР Газ України'!$B$4</definedName>
    <definedName name="Load_ID_6">'[24]МТР Газ України'!$B$4</definedName>
    <definedName name="OpDate" localSheetId="14">[6]Inform!$E$5</definedName>
    <definedName name="OpDate">[7]Inform!$E$5</definedName>
    <definedName name="OpDate_21">[8]Inform!$E$5</definedName>
    <definedName name="OpDate_25">[8]Inform!$E$5</definedName>
    <definedName name="OpDate_6" localSheetId="14">[9]Inform!$E$5</definedName>
    <definedName name="OpDate_6">[10]Inform!$E$5</definedName>
    <definedName name="QR">[31]Inform!$E$5</definedName>
    <definedName name="qw">[5]Inform!$E$5</definedName>
    <definedName name="qwert">[5]Inform!$G$2</definedName>
    <definedName name="qwerty">'[4]МТР Газ України'!$B$4</definedName>
    <definedName name="ShowFil" localSheetId="14">[16]!ShowFil</definedName>
    <definedName name="ShowFil">[17]!ShowFil</definedName>
    <definedName name="SU_ID" localSheetId="14">#REF!</definedName>
    <definedName name="SU_ID">#REF!</definedName>
    <definedName name="Time_ID" localSheetId="14">'[19]МТР Газ України'!$B$1</definedName>
    <definedName name="Time_ID">'[20]МТР Газ України'!$B$1</definedName>
    <definedName name="Time_ID_10" localSheetId="14">'[21]7  Інші витрати'!#REF!</definedName>
    <definedName name="Time_ID_10">'[22]7  Інші витрати'!#REF!</definedName>
    <definedName name="Time_ID_11" localSheetId="14">'[23]МТР Газ України'!$B$1</definedName>
    <definedName name="Time_ID_11">'[24]МТР Газ України'!$B$1</definedName>
    <definedName name="Time_ID_12" localSheetId="14">'[23]МТР Газ України'!$B$1</definedName>
    <definedName name="Time_ID_12">'[24]МТР Газ України'!$B$1</definedName>
    <definedName name="Time_ID_13" localSheetId="14">'[23]МТР Газ України'!$B$1</definedName>
    <definedName name="Time_ID_13">'[24]МТР Газ України'!$B$1</definedName>
    <definedName name="Time_ID_14" localSheetId="14">'[23]МТР Газ України'!$B$1</definedName>
    <definedName name="Time_ID_14">'[24]МТР Газ України'!$B$1</definedName>
    <definedName name="Time_ID_15" localSheetId="14">'[23]МТР Газ України'!$B$1</definedName>
    <definedName name="Time_ID_15">'[24]МТР Газ України'!$B$1</definedName>
    <definedName name="Time_ID_16" localSheetId="14">'[23]МТР Газ України'!$B$1</definedName>
    <definedName name="Time_ID_16">'[24]МТР Газ України'!$B$1</definedName>
    <definedName name="Time_ID_17" localSheetId="14">'[23]МТР Газ України'!$B$1</definedName>
    <definedName name="Time_ID_17">'[24]МТР Газ України'!$B$1</definedName>
    <definedName name="Time_ID_18" localSheetId="14">'[25]МТР Газ України'!$B$1</definedName>
    <definedName name="Time_ID_18">'[26]МТР Газ України'!$B$1</definedName>
    <definedName name="Time_ID_19" localSheetId="14">'[27]МТР Газ України'!$B$1</definedName>
    <definedName name="Time_ID_19">'[28]МТР Газ України'!$B$1</definedName>
    <definedName name="Time_ID_20" localSheetId="14">'[25]МТР Газ України'!$B$1</definedName>
    <definedName name="Time_ID_20">'[26]МТР Газ України'!$B$1</definedName>
    <definedName name="Time_ID_21">'[29]МТР Газ України'!$B$1</definedName>
    <definedName name="Time_ID_23" localSheetId="14">'[27]МТР Газ України'!$B$1</definedName>
    <definedName name="Time_ID_23">'[28]МТР Газ України'!$B$1</definedName>
    <definedName name="Time_ID_25">'[29]МТР Газ України'!$B$1</definedName>
    <definedName name="Time_ID_6" localSheetId="14">'[23]МТР Газ України'!$B$1</definedName>
    <definedName name="Time_ID_6">'[24]МТР Газ України'!$B$1</definedName>
    <definedName name="Time_ID0" localSheetId="14">'[19]МТР Газ України'!$F$1</definedName>
    <definedName name="Time_ID0">'[20]МТР Газ України'!$F$1</definedName>
    <definedName name="Time_ID0_10" localSheetId="14">'[21]7  Інші витрати'!#REF!</definedName>
    <definedName name="Time_ID0_10">'[22]7  Інші витрати'!#REF!</definedName>
    <definedName name="Time_ID0_11" localSheetId="14">'[23]МТР Газ України'!$F$1</definedName>
    <definedName name="Time_ID0_11">'[24]МТР Газ України'!$F$1</definedName>
    <definedName name="Time_ID0_12" localSheetId="14">'[23]МТР Газ України'!$F$1</definedName>
    <definedName name="Time_ID0_12">'[24]МТР Газ України'!$F$1</definedName>
    <definedName name="Time_ID0_13" localSheetId="14">'[23]МТР Газ України'!$F$1</definedName>
    <definedName name="Time_ID0_13">'[24]МТР Газ України'!$F$1</definedName>
    <definedName name="Time_ID0_14" localSheetId="14">'[23]МТР Газ України'!$F$1</definedName>
    <definedName name="Time_ID0_14">'[24]МТР Газ України'!$F$1</definedName>
    <definedName name="Time_ID0_15" localSheetId="14">'[23]МТР Газ України'!$F$1</definedName>
    <definedName name="Time_ID0_15">'[24]МТР Газ України'!$F$1</definedName>
    <definedName name="Time_ID0_16" localSheetId="14">'[23]МТР Газ України'!$F$1</definedName>
    <definedName name="Time_ID0_16">'[24]МТР Газ України'!$F$1</definedName>
    <definedName name="Time_ID0_17" localSheetId="14">'[23]МТР Газ України'!$F$1</definedName>
    <definedName name="Time_ID0_17">'[24]МТР Газ України'!$F$1</definedName>
    <definedName name="Time_ID0_18" localSheetId="14">'[25]МТР Газ України'!$F$1</definedName>
    <definedName name="Time_ID0_18">'[26]МТР Газ України'!$F$1</definedName>
    <definedName name="Time_ID0_19" localSheetId="14">'[27]МТР Газ України'!$F$1</definedName>
    <definedName name="Time_ID0_19">'[28]МТР Газ України'!$F$1</definedName>
    <definedName name="Time_ID0_20" localSheetId="14">'[25]МТР Газ України'!$F$1</definedName>
    <definedName name="Time_ID0_20">'[26]МТР Газ України'!$F$1</definedName>
    <definedName name="Time_ID0_21">'[29]МТР Газ України'!$F$1</definedName>
    <definedName name="Time_ID0_23" localSheetId="14">'[27]МТР Газ України'!$F$1</definedName>
    <definedName name="Time_ID0_23">'[28]МТР Газ України'!$F$1</definedName>
    <definedName name="Time_ID0_25">'[29]МТР Газ України'!$F$1</definedName>
    <definedName name="Time_ID0_6" localSheetId="14">'[23]МТР Газ України'!$F$1</definedName>
    <definedName name="Time_ID0_6">'[24]МТР Газ України'!$F$1</definedName>
    <definedName name="ttttttt" localSheetId="14">#REF!</definedName>
    <definedName name="ttttttt">#REF!</definedName>
    <definedName name="Unit" localSheetId="14">[6]Inform!$E$38</definedName>
    <definedName name="Unit">[7]Inform!$E$38</definedName>
    <definedName name="Unit_21">[8]Inform!$E$38</definedName>
    <definedName name="Unit_25">[8]Inform!$E$38</definedName>
    <definedName name="Unit_6" localSheetId="14">[9]Inform!$E$38</definedName>
    <definedName name="Unit_6">[10]Inform!$E$38</definedName>
    <definedName name="WQER">'[32]МТР Газ України'!$B$4</definedName>
    <definedName name="wr">'[32]МТР Газ України'!$B$4</definedName>
    <definedName name="yyyy" localSheetId="14">#REF!</definedName>
    <definedName name="yyyy">#REF!</definedName>
    <definedName name="zx">'[4]МТР Газ України'!$F$1</definedName>
    <definedName name="zxc">[5]Inform!$E$38</definedName>
    <definedName name="а">'[15]7  Інші витрати'!#REF!</definedName>
    <definedName name="ав" localSheetId="14">#REF!</definedName>
    <definedName name="ав">#REF!</definedName>
    <definedName name="аен">'[32]МТР Газ України'!$B$4</definedName>
    <definedName name="_xlnm.Database">'[33]Ener '!$A$1:$G$2645</definedName>
    <definedName name="в">'[34]МТР Газ України'!$F$1</definedName>
    <definedName name="ватт">'[35]БАЗА  '!#REF!</definedName>
    <definedName name="Д">'[18]МТР Газ України'!$B$4</definedName>
    <definedName name="е" localSheetId="14">#REF!</definedName>
    <definedName name="е">#REF!</definedName>
    <definedName name="є" localSheetId="14">#REF!</definedName>
    <definedName name="є">#REF!</definedName>
    <definedName name="_xlnm.Print_Titles" localSheetId="8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4">'ІІІ. Рух грош. коштів'!$4:$6</definedName>
    <definedName name="_xlnm.Print_Titles" localSheetId="0">'Осн. фін. пок.'!$47:$49</definedName>
    <definedName name="_xlnm.Print_Titles" localSheetId="5">'Розшифровка до Руху'!$3:$5</definedName>
    <definedName name="_xlnm.Print_Titles" localSheetId="2">'Розшифровка до Формування'!$4:$6</definedName>
    <definedName name="Заголовки_для_печати_МИ">'[36]1993'!$A$1:$IV$3,'[36]1993'!$A$1:$A$65536</definedName>
    <definedName name="і">[37]Inform!$F$2</definedName>
    <definedName name="ів" localSheetId="14">#REF!</definedName>
    <definedName name="ів">#REF!</definedName>
    <definedName name="ів___0" localSheetId="14">#REF!</definedName>
    <definedName name="ів___0">#REF!</definedName>
    <definedName name="ів_22" localSheetId="14">#REF!</definedName>
    <definedName name="ів_22">#REF!</definedName>
    <definedName name="ів_26">#REF!</definedName>
    <definedName name="іваіа" localSheetId="14">'[38]7  Інші витрати'!#REF!</definedName>
    <definedName name="іваіа">'[39]7  Інші витрати'!#REF!</definedName>
    <definedName name="іваф" localSheetId="14">#REF!</definedName>
    <definedName name="іваф">#REF!</definedName>
    <definedName name="івів">'[14]МТР Газ України'!$B$1</definedName>
    <definedName name="іцу">[31]Inform!$G$2</definedName>
    <definedName name="йуц" localSheetId="14">#REF!</definedName>
    <definedName name="йуц">#REF!</definedName>
    <definedName name="йцу" localSheetId="14">#REF!</definedName>
    <definedName name="йцу">#REF!</definedName>
    <definedName name="йцуйй" localSheetId="14">#REF!</definedName>
    <definedName name="йцуйй">#REF!</definedName>
    <definedName name="йцукц" localSheetId="14">'[38]7  Інші витрати'!#REF!</definedName>
    <definedName name="йцукц">'[39]7  Інші витрати'!#REF!</definedName>
    <definedName name="КЕ" localSheetId="14">#REF!</definedName>
    <definedName name="КЕ">#REF!</definedName>
    <definedName name="КЕ___0" localSheetId="14">#REF!</definedName>
    <definedName name="КЕ___0">#REF!</definedName>
    <definedName name="КЕ_22" localSheetId="14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Коефіцієнти'!$A$1:$H$26</definedName>
    <definedName name="_xlnm.Print_Area" localSheetId="9">'6.1. Інша інфо_1'!$A$1:$O$64</definedName>
    <definedName name="_xlnm.Print_Area" localSheetId="10">'6.2. Інша інфо_2'!$A$1:$AE$52</definedName>
    <definedName name="_xlnm.Print_Area" localSheetId="1">'I. Фін результат'!$A$1:$K$99</definedName>
    <definedName name="_xlnm.Print_Area" localSheetId="6">'IV. Кап. інвестиції'!$A$1:$J$18</definedName>
    <definedName name="_xlnm.Print_Area" localSheetId="11">'VII Статутн капіт'!$A$1:$J$15</definedName>
    <definedName name="_xlnm.Print_Area" localSheetId="14">Аналіз!$A$1:$H$84</definedName>
    <definedName name="_xlnm.Print_Area" localSheetId="3">'ІІ. Розр. з бюджетом'!$A$1:$J$46</definedName>
    <definedName name="_xlnm.Print_Area" localSheetId="4">'ІІІ. Рух грош. коштів'!$A$1:$J$71</definedName>
    <definedName name="_xlnm.Print_Area" localSheetId="0">'Осн. фін. пок.'!$A$1:$I$133</definedName>
    <definedName name="_xlnm.Print_Area" localSheetId="5">'Розшифровка до Руху'!$A$1:$J$63</definedName>
    <definedName name="_xlnm.Print_Area" localSheetId="2">'Розшифровка до Формування'!$A$1:$J$83</definedName>
    <definedName name="_xlnm.Print_Area" localSheetId="7">'Розшифровка кап'!$A$1:$J$38</definedName>
    <definedName name="_xlnm.Print_Area" localSheetId="12">'Розшифровка статутний'!$A$1:$J$26</definedName>
    <definedName name="п" localSheetId="14">'[15]7  Інші витрати'!#REF!</definedName>
    <definedName name="п">'[15]7  Інші витрати'!#REF!</definedName>
    <definedName name="пдв">'[18]МТР Газ України'!$B$4</definedName>
    <definedName name="пдв_утг">'[18]МТР Газ України'!$F$1</definedName>
    <definedName name="План" localSheetId="1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14">[40]Inform!$E$6</definedName>
    <definedName name="ппп">[41]Inform!$E$6</definedName>
    <definedName name="р" localSheetId="14">#REF!</definedName>
    <definedName name="р">#REF!</definedName>
    <definedName name="т">[42]Inform!$E$6</definedName>
    <definedName name="тариф">[43]Inform!$G$2</definedName>
    <definedName name="уйцукйцуйу" localSheetId="14">#REF!</definedName>
    <definedName name="уйцукйцуйу">#REF!</definedName>
    <definedName name="уке">[44]Inform!$G$2</definedName>
    <definedName name="УТГ">'[18]МТР Газ України'!$B$4</definedName>
    <definedName name="фів">'[32]МТР Газ України'!$B$4</definedName>
    <definedName name="фіваіф" localSheetId="14">'[38]7  Інші витрати'!#REF!</definedName>
    <definedName name="фіваіф">'[39]7  Інші витрати'!#REF!</definedName>
    <definedName name="фф">'[34]МТР Газ України'!$F$1</definedName>
    <definedName name="ц">'[15]7  Інші витрати'!#REF!</definedName>
    <definedName name="ччч">'[45]БАЗА  '!#REF!</definedName>
    <definedName name="ш" localSheetId="14">#REF!</definedName>
    <definedName name="ш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9" i="14" l="1"/>
  <c r="H89" i="14" s="1"/>
  <c r="I89" i="14" s="1"/>
  <c r="G77" i="14"/>
  <c r="H77" i="14" s="1"/>
  <c r="I77" i="14" s="1"/>
  <c r="G78" i="14"/>
  <c r="H78" i="14" s="1"/>
  <c r="I78" i="14" s="1"/>
  <c r="G76" i="14"/>
  <c r="H76" i="14" s="1"/>
  <c r="I76" i="14" s="1"/>
  <c r="G66" i="14"/>
  <c r="H66" i="14" s="1"/>
  <c r="I66" i="14" s="1"/>
  <c r="G59" i="14"/>
  <c r="H59" i="14" s="1"/>
  <c r="I59" i="14" s="1"/>
  <c r="G54" i="14"/>
  <c r="H54" i="14" s="1"/>
  <c r="I54" i="14" s="1"/>
  <c r="G52" i="14"/>
  <c r="H52" i="14" s="1"/>
  <c r="I52" i="14" s="1"/>
  <c r="I51" i="14"/>
  <c r="H51" i="14"/>
  <c r="G51" i="14"/>
  <c r="D17" i="18" l="1"/>
  <c r="E17" i="18"/>
  <c r="E8" i="11"/>
  <c r="F8" i="11"/>
  <c r="G8" i="11"/>
  <c r="E9" i="11"/>
  <c r="F9" i="11"/>
  <c r="G9" i="11"/>
  <c r="E10" i="11"/>
  <c r="E11" i="11"/>
  <c r="F11" i="11"/>
  <c r="G11" i="11"/>
  <c r="E12" i="11"/>
  <c r="F12" i="11"/>
  <c r="G12" i="11"/>
  <c r="E14" i="11"/>
  <c r="F14" i="11"/>
  <c r="G14" i="11"/>
  <c r="E15" i="11"/>
  <c r="F15" i="11"/>
  <c r="G15" i="11"/>
  <c r="E16" i="11"/>
  <c r="F16" i="11"/>
  <c r="G16" i="11"/>
  <c r="E20" i="11"/>
  <c r="F22" i="10"/>
  <c r="H22" i="10"/>
  <c r="J22" i="10"/>
  <c r="F23" i="10"/>
  <c r="H23" i="10"/>
  <c r="J23" i="10"/>
  <c r="F24" i="10"/>
  <c r="H24" i="10"/>
  <c r="J24" i="10"/>
  <c r="F25" i="10"/>
  <c r="H25" i="10"/>
  <c r="J25" i="10"/>
  <c r="D23" i="10"/>
  <c r="D24" i="10"/>
  <c r="D25" i="10"/>
  <c r="F18" i="10"/>
  <c r="H18" i="10"/>
  <c r="J18" i="10"/>
  <c r="D18" i="10"/>
  <c r="F14" i="10"/>
  <c r="F10" i="10"/>
  <c r="H10" i="10"/>
  <c r="J10" i="10"/>
  <c r="E29" i="19"/>
  <c r="F76" i="22" l="1"/>
  <c r="F77" i="22"/>
  <c r="F78" i="22"/>
  <c r="F79" i="22"/>
  <c r="E90" i="20"/>
  <c r="E91" i="20"/>
  <c r="E92" i="20"/>
  <c r="E93" i="20"/>
  <c r="E94" i="20"/>
  <c r="G90" i="20" l="1"/>
  <c r="G91" i="20"/>
  <c r="G92" i="20"/>
  <c r="G93" i="20"/>
  <c r="G94" i="20"/>
  <c r="D90" i="20"/>
  <c r="D91" i="20"/>
  <c r="D92" i="20"/>
  <c r="D93" i="20"/>
  <c r="D94" i="20"/>
  <c r="H96" i="20"/>
  <c r="I96" i="20"/>
  <c r="J96" i="20"/>
  <c r="C96" i="20"/>
  <c r="D76" i="20"/>
  <c r="E76" i="20"/>
  <c r="J69" i="20"/>
  <c r="I69" i="20"/>
  <c r="H69" i="20"/>
  <c r="G69" i="20"/>
  <c r="D69" i="20"/>
  <c r="E69" i="20"/>
  <c r="J39" i="20"/>
  <c r="I39" i="20"/>
  <c r="H39" i="20"/>
  <c r="G39" i="20"/>
  <c r="D39" i="20"/>
  <c r="E39" i="20"/>
  <c r="J17" i="20"/>
  <c r="I17" i="20"/>
  <c r="H17" i="20"/>
  <c r="G17" i="20"/>
  <c r="D17" i="20"/>
  <c r="E17" i="20"/>
  <c r="F26" i="20" l="1"/>
  <c r="F14" i="20"/>
  <c r="C58" i="18"/>
  <c r="K64" i="18"/>
  <c r="J76" i="22"/>
  <c r="I76" i="22"/>
  <c r="H76" i="22"/>
  <c r="G76" i="22"/>
  <c r="G118" i="14"/>
  <c r="D117" i="14"/>
  <c r="E117" i="14"/>
  <c r="I117" i="14"/>
  <c r="J117" i="14"/>
  <c r="C117" i="14"/>
  <c r="G113" i="14"/>
  <c r="H113" i="14"/>
  <c r="I113" i="14"/>
  <c r="D113" i="14"/>
  <c r="E113" i="14"/>
  <c r="C113" i="14"/>
  <c r="J79" i="14"/>
  <c r="F9" i="25"/>
  <c r="F10" i="25"/>
  <c r="F11" i="25"/>
  <c r="F12" i="25"/>
  <c r="F13" i="25"/>
  <c r="F14" i="25"/>
  <c r="F15" i="25"/>
  <c r="C8" i="25"/>
  <c r="C7" i="25" s="1"/>
  <c r="G8" i="25"/>
  <c r="G11" i="21" s="1"/>
  <c r="H8" i="25"/>
  <c r="H11" i="21" s="1"/>
  <c r="H9" i="21" s="1"/>
  <c r="H55" i="18" s="1"/>
  <c r="H54" i="18" s="1"/>
  <c r="I8" i="25"/>
  <c r="J8" i="25"/>
  <c r="J7" i="25" s="1"/>
  <c r="D8" i="25"/>
  <c r="D11" i="21" s="1"/>
  <c r="D9" i="21" s="1"/>
  <c r="D55" i="18" s="1"/>
  <c r="D54" i="18" s="1"/>
  <c r="F12" i="21"/>
  <c r="I11" i="21"/>
  <c r="I9" i="21" s="1"/>
  <c r="I55" i="18" s="1"/>
  <c r="I54" i="18" s="1"/>
  <c r="AA40" i="9"/>
  <c r="V40" i="9"/>
  <c r="Q40" i="9"/>
  <c r="L40" i="9"/>
  <c r="G40" i="9"/>
  <c r="AA34" i="9"/>
  <c r="AA35" i="9"/>
  <c r="AA36" i="9"/>
  <c r="AA37" i="9"/>
  <c r="AA38" i="9"/>
  <c r="AA39" i="9"/>
  <c r="AA33" i="9"/>
  <c r="AC39" i="9"/>
  <c r="AD39" i="9"/>
  <c r="AE39" i="9"/>
  <c r="AB35" i="9"/>
  <c r="AB36" i="9"/>
  <c r="AB37" i="9"/>
  <c r="AB38" i="9"/>
  <c r="AB39" i="9"/>
  <c r="AC34" i="9"/>
  <c r="AC33" i="9"/>
  <c r="AD34" i="9"/>
  <c r="AE34" i="9"/>
  <c r="AB34" i="9"/>
  <c r="AD33" i="9"/>
  <c r="AE33" i="9"/>
  <c r="AB33" i="9"/>
  <c r="V34" i="9"/>
  <c r="V35" i="9"/>
  <c r="V36" i="9"/>
  <c r="V37" i="9"/>
  <c r="V38" i="9"/>
  <c r="V39" i="9"/>
  <c r="V33" i="9"/>
  <c r="Q34" i="9"/>
  <c r="Q35" i="9"/>
  <c r="Q36" i="9"/>
  <c r="Q37" i="9"/>
  <c r="Q38" i="9"/>
  <c r="Q39" i="9"/>
  <c r="Q33" i="9"/>
  <c r="L34" i="9"/>
  <c r="L35" i="9"/>
  <c r="L36" i="9"/>
  <c r="L37" i="9"/>
  <c r="L38" i="9"/>
  <c r="L39" i="9"/>
  <c r="L33" i="9"/>
  <c r="G39" i="9"/>
  <c r="G34" i="9"/>
  <c r="I39" i="9"/>
  <c r="J39" i="9"/>
  <c r="K39" i="9"/>
  <c r="M39" i="9"/>
  <c r="N39" i="9"/>
  <c r="O39" i="9"/>
  <c r="P39" i="9"/>
  <c r="R39" i="9"/>
  <c r="S39" i="9"/>
  <c r="T39" i="9"/>
  <c r="U39" i="9"/>
  <c r="W39" i="9"/>
  <c r="X39" i="9"/>
  <c r="Y39" i="9"/>
  <c r="Z39" i="9"/>
  <c r="H39" i="9"/>
  <c r="I33" i="9"/>
  <c r="J33" i="9"/>
  <c r="K33" i="9"/>
  <c r="M33" i="9"/>
  <c r="N33" i="9"/>
  <c r="O33" i="9"/>
  <c r="P33" i="9"/>
  <c r="R33" i="9"/>
  <c r="S33" i="9"/>
  <c r="T33" i="9"/>
  <c r="U33" i="9"/>
  <c r="W33" i="9"/>
  <c r="X33" i="9"/>
  <c r="Y33" i="9"/>
  <c r="Z33" i="9"/>
  <c r="H33" i="9"/>
  <c r="G33" i="9" s="1"/>
  <c r="G35" i="9"/>
  <c r="G36" i="9"/>
  <c r="G37" i="9"/>
  <c r="G38" i="9"/>
  <c r="G64" i="10"/>
  <c r="J64" i="10"/>
  <c r="M64" i="10"/>
  <c r="D64" i="10"/>
  <c r="K52" i="10"/>
  <c r="M44" i="10"/>
  <c r="J44" i="10"/>
  <c r="G44" i="10"/>
  <c r="D44" i="10"/>
  <c r="H17" i="10"/>
  <c r="D14" i="10"/>
  <c r="D10" i="10"/>
  <c r="F11" i="3"/>
  <c r="F13" i="3"/>
  <c r="F8" i="3"/>
  <c r="F20" i="24"/>
  <c r="F21" i="24"/>
  <c r="F22" i="24"/>
  <c r="F23" i="24"/>
  <c r="F24" i="24"/>
  <c r="F26" i="24"/>
  <c r="F27" i="24"/>
  <c r="F28" i="24"/>
  <c r="F29" i="24"/>
  <c r="F30" i="24"/>
  <c r="F31" i="24"/>
  <c r="F32" i="24"/>
  <c r="F11" i="24"/>
  <c r="F12" i="24"/>
  <c r="F13" i="24"/>
  <c r="F14" i="24"/>
  <c r="F15" i="24"/>
  <c r="F16" i="24"/>
  <c r="F17" i="24"/>
  <c r="F18" i="24"/>
  <c r="F8" i="24"/>
  <c r="F10" i="24"/>
  <c r="D25" i="24"/>
  <c r="D12" i="3" s="1"/>
  <c r="E25" i="24"/>
  <c r="E12" i="3" s="1"/>
  <c r="G25" i="24"/>
  <c r="G12" i="3" s="1"/>
  <c r="H25" i="24"/>
  <c r="H12" i="3" s="1"/>
  <c r="I25" i="24"/>
  <c r="I12" i="3" s="1"/>
  <c r="J25" i="24"/>
  <c r="C25" i="24"/>
  <c r="C12" i="3" s="1"/>
  <c r="D19" i="24"/>
  <c r="D10" i="3" s="1"/>
  <c r="G19" i="24"/>
  <c r="H19" i="24"/>
  <c r="H10" i="3" s="1"/>
  <c r="I19" i="24"/>
  <c r="I10" i="3" s="1"/>
  <c r="J19" i="24"/>
  <c r="C19" i="24"/>
  <c r="C10" i="3" s="1"/>
  <c r="C9" i="24"/>
  <c r="D9" i="24"/>
  <c r="D9" i="3" s="1"/>
  <c r="E9" i="24"/>
  <c r="E9" i="3" s="1"/>
  <c r="G9" i="24"/>
  <c r="G9" i="3" s="1"/>
  <c r="H9" i="24"/>
  <c r="H9" i="3" s="1"/>
  <c r="I9" i="24"/>
  <c r="J9" i="24"/>
  <c r="F29" i="23"/>
  <c r="F30" i="23"/>
  <c r="F48" i="23"/>
  <c r="F49" i="23"/>
  <c r="F50" i="23"/>
  <c r="F51" i="23"/>
  <c r="F52" i="23"/>
  <c r="F36" i="23"/>
  <c r="F37" i="23"/>
  <c r="F38" i="23"/>
  <c r="F39" i="23"/>
  <c r="F41" i="23"/>
  <c r="F42" i="23"/>
  <c r="F44" i="23"/>
  <c r="F46" i="23"/>
  <c r="F47" i="23"/>
  <c r="F15" i="23"/>
  <c r="F16" i="23"/>
  <c r="F18" i="23"/>
  <c r="F20" i="23"/>
  <c r="F21" i="23"/>
  <c r="F22" i="23"/>
  <c r="F23" i="23"/>
  <c r="F24" i="23"/>
  <c r="F25" i="23"/>
  <c r="F26" i="23"/>
  <c r="F27" i="23"/>
  <c r="F32" i="23"/>
  <c r="F33" i="23"/>
  <c r="F34" i="23"/>
  <c r="F35" i="23"/>
  <c r="F11" i="23"/>
  <c r="F12" i="23"/>
  <c r="F13" i="23"/>
  <c r="F14" i="23"/>
  <c r="D45" i="23"/>
  <c r="E45" i="23"/>
  <c r="E49" i="18" s="1"/>
  <c r="G45" i="23"/>
  <c r="G49" i="18" s="1"/>
  <c r="H45" i="23"/>
  <c r="H49" i="18" s="1"/>
  <c r="I45" i="23"/>
  <c r="J45" i="23"/>
  <c r="J49" i="18" s="1"/>
  <c r="C45" i="23"/>
  <c r="D40" i="23"/>
  <c r="D47" i="18" s="1"/>
  <c r="G40" i="23"/>
  <c r="G47" i="18" s="1"/>
  <c r="H40" i="23"/>
  <c r="I40" i="23"/>
  <c r="J40" i="23"/>
  <c r="J47" i="18" s="1"/>
  <c r="C40" i="23"/>
  <c r="D31" i="23"/>
  <c r="E31" i="23"/>
  <c r="E46" i="18" s="1"/>
  <c r="G31" i="23"/>
  <c r="G46" i="18" s="1"/>
  <c r="H31" i="23"/>
  <c r="I31" i="23"/>
  <c r="I46" i="18" s="1"/>
  <c r="J31" i="23"/>
  <c r="C31" i="23"/>
  <c r="D17" i="23"/>
  <c r="D33" i="18" s="1"/>
  <c r="C17" i="23"/>
  <c r="D10" i="23"/>
  <c r="E10" i="23"/>
  <c r="G10" i="23"/>
  <c r="H10" i="23"/>
  <c r="H17" i="18" s="1"/>
  <c r="I10" i="23"/>
  <c r="I17" i="18" s="1"/>
  <c r="J10" i="23"/>
  <c r="J17" i="18" s="1"/>
  <c r="C10" i="23"/>
  <c r="F63" i="18"/>
  <c r="F57" i="18"/>
  <c r="F59" i="18"/>
  <c r="F56" i="18"/>
  <c r="F50" i="18"/>
  <c r="F51" i="18"/>
  <c r="F45" i="18"/>
  <c r="F48" i="18"/>
  <c r="F38" i="18"/>
  <c r="F39" i="18"/>
  <c r="F40" i="18"/>
  <c r="F42" i="18"/>
  <c r="F43" i="18"/>
  <c r="F37" i="18"/>
  <c r="F32" i="18"/>
  <c r="F25" i="18"/>
  <c r="F27" i="18"/>
  <c r="F28" i="18"/>
  <c r="F10" i="18"/>
  <c r="F11" i="18"/>
  <c r="F12" i="18"/>
  <c r="F13" i="18"/>
  <c r="F14" i="18"/>
  <c r="F15" i="18"/>
  <c r="F19" i="18"/>
  <c r="C62" i="18"/>
  <c r="D62" i="18"/>
  <c r="E60" i="18"/>
  <c r="D60" i="18"/>
  <c r="C60" i="18"/>
  <c r="D49" i="18"/>
  <c r="I49" i="18"/>
  <c r="H47" i="18"/>
  <c r="I47" i="18"/>
  <c r="H46" i="18"/>
  <c r="J46" i="18"/>
  <c r="D36" i="18"/>
  <c r="G36" i="18"/>
  <c r="H36" i="18"/>
  <c r="F36" i="18" s="1"/>
  <c r="I36" i="18"/>
  <c r="J36" i="18"/>
  <c r="C36" i="18"/>
  <c r="D29" i="18"/>
  <c r="D24" i="18"/>
  <c r="D23" i="18"/>
  <c r="F41" i="19"/>
  <c r="F42" i="19"/>
  <c r="F34" i="19"/>
  <c r="F35" i="19"/>
  <c r="F37" i="19"/>
  <c r="F30" i="19"/>
  <c r="F32" i="19"/>
  <c r="F26" i="19"/>
  <c r="F21" i="19"/>
  <c r="F22" i="19"/>
  <c r="F23" i="19"/>
  <c r="F24" i="19"/>
  <c r="F20" i="19"/>
  <c r="D40" i="19"/>
  <c r="G40" i="19"/>
  <c r="H40" i="19"/>
  <c r="I40" i="19"/>
  <c r="J40" i="19"/>
  <c r="C40" i="19"/>
  <c r="D19" i="19"/>
  <c r="C19" i="19"/>
  <c r="F11" i="19"/>
  <c r="F12" i="19"/>
  <c r="F13" i="19"/>
  <c r="F14" i="19"/>
  <c r="F15" i="19"/>
  <c r="F16" i="19"/>
  <c r="F87" i="20"/>
  <c r="F85" i="20"/>
  <c r="F73" i="20"/>
  <c r="F74" i="20"/>
  <c r="F77" i="20"/>
  <c r="F80" i="20"/>
  <c r="F61" i="20"/>
  <c r="F62" i="20"/>
  <c r="F65" i="20"/>
  <c r="F68" i="20"/>
  <c r="F72" i="20"/>
  <c r="F43" i="20"/>
  <c r="F44" i="20"/>
  <c r="F45" i="20"/>
  <c r="F46" i="20"/>
  <c r="F47" i="20"/>
  <c r="F49" i="20"/>
  <c r="F50" i="20"/>
  <c r="F53" i="20"/>
  <c r="F54" i="20"/>
  <c r="F55" i="20"/>
  <c r="F56" i="20"/>
  <c r="F57" i="20"/>
  <c r="F60" i="20"/>
  <c r="F41" i="20"/>
  <c r="F42" i="20"/>
  <c r="F28" i="20"/>
  <c r="F29" i="20"/>
  <c r="F30" i="20"/>
  <c r="F31" i="20"/>
  <c r="F32" i="20"/>
  <c r="F34" i="20"/>
  <c r="F35" i="20"/>
  <c r="F36" i="20"/>
  <c r="F21" i="20"/>
  <c r="F22" i="20"/>
  <c r="F23" i="20"/>
  <c r="F25" i="20"/>
  <c r="F20" i="20"/>
  <c r="F11" i="20"/>
  <c r="F13" i="20"/>
  <c r="F8" i="20"/>
  <c r="G7" i="25" l="1"/>
  <c r="D7" i="25"/>
  <c r="H7" i="25"/>
  <c r="F7" i="25" s="1"/>
  <c r="F8" i="25"/>
  <c r="I7" i="25"/>
  <c r="J11" i="21"/>
  <c r="J9" i="21" s="1"/>
  <c r="J55" i="18" s="1"/>
  <c r="J54" i="18" s="1"/>
  <c r="J6" i="24"/>
  <c r="I6" i="24"/>
  <c r="C6" i="24"/>
  <c r="D6" i="24"/>
  <c r="F19" i="24"/>
  <c r="I9" i="3"/>
  <c r="I7" i="3" s="1"/>
  <c r="H6" i="24"/>
  <c r="F9" i="24"/>
  <c r="G6" i="24"/>
  <c r="D7" i="3"/>
  <c r="E18" i="11" s="1"/>
  <c r="G10" i="3"/>
  <c r="G7" i="3" s="1"/>
  <c r="F25" i="24"/>
  <c r="C9" i="3"/>
  <c r="C7" i="3" s="1"/>
  <c r="H7" i="3"/>
  <c r="H28" i="23"/>
  <c r="F45" i="23"/>
  <c r="C28" i="23"/>
  <c r="G28" i="23"/>
  <c r="J28" i="23"/>
  <c r="I28" i="23"/>
  <c r="D28" i="23"/>
  <c r="F40" i="23"/>
  <c r="F10" i="23"/>
  <c r="G17" i="18"/>
  <c r="F17" i="18" s="1"/>
  <c r="F31" i="23"/>
  <c r="D46" i="18"/>
  <c r="D44" i="18" s="1"/>
  <c r="D41" i="18" s="1"/>
  <c r="D52" i="18" s="1"/>
  <c r="F49" i="18"/>
  <c r="D58" i="18"/>
  <c r="D64" i="18" s="1"/>
  <c r="F46" i="18"/>
  <c r="F47" i="18"/>
  <c r="I44" i="18"/>
  <c r="I41" i="18" s="1"/>
  <c r="I52" i="18" s="1"/>
  <c r="F40" i="19"/>
  <c r="G9" i="21"/>
  <c r="F11" i="21"/>
  <c r="H44" i="18"/>
  <c r="H41" i="18" s="1"/>
  <c r="H52" i="18" s="1"/>
  <c r="J44" i="18"/>
  <c r="J41" i="18" s="1"/>
  <c r="J52" i="18" s="1"/>
  <c r="G44" i="18"/>
  <c r="F6" i="24" l="1"/>
  <c r="F28" i="23"/>
  <c r="G55" i="18"/>
  <c r="F9" i="21"/>
  <c r="G41" i="18"/>
  <c r="F44" i="18"/>
  <c r="F55" i="18" l="1"/>
  <c r="G54" i="18"/>
  <c r="F41" i="18"/>
  <c r="G52" i="18"/>
  <c r="F52" i="18" s="1"/>
  <c r="F54" i="18" l="1"/>
  <c r="C93" i="20" l="1"/>
  <c r="E100" i="14"/>
  <c r="C92" i="20"/>
  <c r="C91" i="20"/>
  <c r="H91" i="20"/>
  <c r="I91" i="20"/>
  <c r="C90" i="20"/>
  <c r="D83" i="20"/>
  <c r="E83" i="20"/>
  <c r="D40" i="20"/>
  <c r="E40" i="20"/>
  <c r="G40" i="20"/>
  <c r="H40" i="20"/>
  <c r="I40" i="20"/>
  <c r="J40" i="20"/>
  <c r="C40" i="20"/>
  <c r="H26" i="20"/>
  <c r="G26" i="20"/>
  <c r="I26" i="20"/>
  <c r="J26" i="20"/>
  <c r="H14" i="20"/>
  <c r="G14" i="20"/>
  <c r="I14" i="20"/>
  <c r="I92" i="20" s="1"/>
  <c r="J14" i="20"/>
  <c r="F73" i="22"/>
  <c r="F74" i="22"/>
  <c r="F80" i="22"/>
  <c r="F61" i="22"/>
  <c r="F62" i="22"/>
  <c r="F63" i="22"/>
  <c r="F64" i="22"/>
  <c r="F65" i="22"/>
  <c r="F66" i="22"/>
  <c r="F67" i="22"/>
  <c r="F68" i="22"/>
  <c r="F69" i="22"/>
  <c r="F71" i="22"/>
  <c r="F72" i="22"/>
  <c r="F51" i="22"/>
  <c r="F52" i="22"/>
  <c r="F53" i="22"/>
  <c r="F54" i="22"/>
  <c r="F55" i="22"/>
  <c r="F56" i="22"/>
  <c r="F57" i="22"/>
  <c r="F58" i="22"/>
  <c r="F59" i="22"/>
  <c r="F39" i="22"/>
  <c r="F40" i="22"/>
  <c r="F42" i="22"/>
  <c r="F43" i="22"/>
  <c r="F44" i="22"/>
  <c r="F45" i="22"/>
  <c r="F46" i="22"/>
  <c r="F47" i="22"/>
  <c r="F48" i="22"/>
  <c r="F49" i="22"/>
  <c r="F33" i="22"/>
  <c r="F29" i="22"/>
  <c r="F30" i="22"/>
  <c r="F31" i="22"/>
  <c r="F19" i="22"/>
  <c r="F21" i="22"/>
  <c r="F22" i="22"/>
  <c r="F23" i="22"/>
  <c r="F24" i="22"/>
  <c r="F26" i="22"/>
  <c r="F12" i="22"/>
  <c r="F15" i="22"/>
  <c r="F16" i="22"/>
  <c r="F17" i="22"/>
  <c r="F9" i="22"/>
  <c r="F10" i="22"/>
  <c r="F11" i="22"/>
  <c r="F8" i="22"/>
  <c r="D75" i="22"/>
  <c r="D67" i="20" s="1"/>
  <c r="E75" i="22"/>
  <c r="E67" i="20" s="1"/>
  <c r="C75" i="22"/>
  <c r="D70" i="22"/>
  <c r="D66" i="20" s="1"/>
  <c r="D64" i="20" s="1"/>
  <c r="G70" i="22"/>
  <c r="H70" i="22"/>
  <c r="H66" i="20" s="1"/>
  <c r="H64" i="20" s="1"/>
  <c r="I70" i="22"/>
  <c r="I66" i="20" s="1"/>
  <c r="I64" i="20" s="1"/>
  <c r="J70" i="22"/>
  <c r="J66" i="20" s="1"/>
  <c r="J64" i="20" s="1"/>
  <c r="C70" i="22"/>
  <c r="D60" i="22"/>
  <c r="D58" i="20" s="1"/>
  <c r="D52" i="20" s="1"/>
  <c r="G60" i="22"/>
  <c r="G58" i="20" s="1"/>
  <c r="H60" i="22"/>
  <c r="H58" i="20" s="1"/>
  <c r="H52" i="20" s="1"/>
  <c r="I60" i="22"/>
  <c r="I58" i="20" s="1"/>
  <c r="I52" i="20" s="1"/>
  <c r="J60" i="22"/>
  <c r="J58" i="20" s="1"/>
  <c r="J52" i="20" s="1"/>
  <c r="C60" i="22"/>
  <c r="D50" i="22"/>
  <c r="D51" i="20" s="1"/>
  <c r="D48" i="20" s="1"/>
  <c r="E50" i="22"/>
  <c r="E51" i="20" s="1"/>
  <c r="G50" i="22"/>
  <c r="G51" i="20" s="1"/>
  <c r="G48" i="20" s="1"/>
  <c r="H50" i="22"/>
  <c r="H51" i="20" s="1"/>
  <c r="H48" i="20" s="1"/>
  <c r="I50" i="22"/>
  <c r="I51" i="20" s="1"/>
  <c r="I48" i="20" s="1"/>
  <c r="J50" i="22"/>
  <c r="J51" i="20" s="1"/>
  <c r="J48" i="20" s="1"/>
  <c r="C50" i="22"/>
  <c r="D34" i="22"/>
  <c r="D19" i="20" s="1"/>
  <c r="E34" i="22"/>
  <c r="C34" i="22"/>
  <c r="E7" i="22"/>
  <c r="D7" i="22"/>
  <c r="C7" i="22"/>
  <c r="E20" i="27"/>
  <c r="F20" i="27" s="1"/>
  <c r="G20" i="27"/>
  <c r="H20" i="27" s="1"/>
  <c r="E19" i="18"/>
  <c r="J60" i="18"/>
  <c r="H60" i="18"/>
  <c r="I60" i="18"/>
  <c r="G60" i="18"/>
  <c r="F60" i="18" s="1"/>
  <c r="E9" i="18"/>
  <c r="E26" i="20"/>
  <c r="E14" i="20"/>
  <c r="E24" i="18"/>
  <c r="E25" i="19"/>
  <c r="C35" i="10"/>
  <c r="C33" i="10"/>
  <c r="J63" i="20"/>
  <c r="I63" i="20"/>
  <c r="I62" i="18" s="1"/>
  <c r="H63" i="20"/>
  <c r="H62" i="18" s="1"/>
  <c r="G63" i="20"/>
  <c r="H16" i="10"/>
  <c r="H118" i="14"/>
  <c r="H117" i="14" s="1"/>
  <c r="G117" i="14"/>
  <c r="E109" i="14"/>
  <c r="F70" i="22" l="1"/>
  <c r="F50" i="22"/>
  <c r="F60" i="22"/>
  <c r="G66" i="20"/>
  <c r="F66" i="20" s="1"/>
  <c r="H29" i="19"/>
  <c r="H24" i="18" s="1"/>
  <c r="H25" i="19"/>
  <c r="I29" i="19"/>
  <c r="I24" i="18" s="1"/>
  <c r="I25" i="19"/>
  <c r="G25" i="19"/>
  <c r="G29" i="19"/>
  <c r="E29" i="18"/>
  <c r="J78" i="20"/>
  <c r="H78" i="20"/>
  <c r="G62" i="18"/>
  <c r="F63" i="20"/>
  <c r="I78" i="20"/>
  <c r="D78" i="20"/>
  <c r="F58" i="20"/>
  <c r="G52" i="20"/>
  <c r="F52" i="20" s="1"/>
  <c r="F48" i="20"/>
  <c r="F40" i="20"/>
  <c r="F51" i="20"/>
  <c r="H92" i="20"/>
  <c r="D9" i="20"/>
  <c r="E105" i="14"/>
  <c r="E107" i="14" s="1"/>
  <c r="D95" i="20" l="1"/>
  <c r="G64" i="20"/>
  <c r="F64" i="20" s="1"/>
  <c r="I19" i="19"/>
  <c r="I29" i="18"/>
  <c r="G24" i="18"/>
  <c r="H19" i="19"/>
  <c r="H29" i="18"/>
  <c r="G19" i="19"/>
  <c r="G29" i="18"/>
  <c r="G78" i="20"/>
  <c r="F78" i="20" s="1"/>
  <c r="G58" i="18"/>
  <c r="G64" i="18" s="1"/>
  <c r="D79" i="20"/>
  <c r="D18" i="20"/>
  <c r="G64" i="14"/>
  <c r="H64" i="14"/>
  <c r="D96" i="20" l="1"/>
  <c r="D59" i="20"/>
  <c r="D70" i="20"/>
  <c r="D82" i="20"/>
  <c r="M37" i="10"/>
  <c r="D75" i="20" l="1"/>
  <c r="B33" i="10"/>
  <c r="J16" i="10"/>
  <c r="J15" i="10"/>
  <c r="J14" i="10" s="1"/>
  <c r="J57" i="10"/>
  <c r="G57" i="10"/>
  <c r="H16" i="20"/>
  <c r="I16" i="20"/>
  <c r="J16" i="20"/>
  <c r="G16" i="20"/>
  <c r="H41" i="22"/>
  <c r="I41" i="22"/>
  <c r="J41" i="22"/>
  <c r="G41" i="22"/>
  <c r="H38" i="22"/>
  <c r="I38" i="22"/>
  <c r="J38" i="22"/>
  <c r="G38" i="22"/>
  <c r="H36" i="22"/>
  <c r="I36" i="22"/>
  <c r="J36" i="22"/>
  <c r="G36" i="22"/>
  <c r="H35" i="22"/>
  <c r="I35" i="22"/>
  <c r="J35" i="22"/>
  <c r="J34" i="22" s="1"/>
  <c r="G35" i="22"/>
  <c r="J28" i="22"/>
  <c r="F28" i="22" s="1"/>
  <c r="H25" i="22"/>
  <c r="I25" i="22"/>
  <c r="J25" i="22"/>
  <c r="G25" i="22"/>
  <c r="H18" i="22"/>
  <c r="I18" i="22"/>
  <c r="J18" i="22"/>
  <c r="G18" i="22"/>
  <c r="H14" i="22"/>
  <c r="I14" i="22"/>
  <c r="J14" i="22"/>
  <c r="G14" i="22"/>
  <c r="H33" i="20"/>
  <c r="I33" i="20"/>
  <c r="J33" i="20"/>
  <c r="G33" i="20"/>
  <c r="H24" i="20"/>
  <c r="I24" i="20"/>
  <c r="J24" i="20"/>
  <c r="G24" i="20"/>
  <c r="H15" i="20"/>
  <c r="I15" i="20"/>
  <c r="J15" i="20"/>
  <c r="G15" i="20"/>
  <c r="H12" i="20"/>
  <c r="I12" i="20"/>
  <c r="J12" i="20"/>
  <c r="G12" i="20"/>
  <c r="H10" i="20"/>
  <c r="I10" i="20"/>
  <c r="J10" i="20"/>
  <c r="G10" i="20"/>
  <c r="H75" i="22"/>
  <c r="H67" i="20" s="1"/>
  <c r="I75" i="22"/>
  <c r="I67" i="20" s="1"/>
  <c r="J75" i="22"/>
  <c r="J67" i="20" s="1"/>
  <c r="H38" i="20"/>
  <c r="H37" i="20" s="1"/>
  <c r="I38" i="20"/>
  <c r="I37" i="20" s="1"/>
  <c r="J38" i="20"/>
  <c r="J37" i="20" s="1"/>
  <c r="G38" i="20"/>
  <c r="H27" i="20"/>
  <c r="I27" i="20"/>
  <c r="J27" i="20"/>
  <c r="G27" i="20"/>
  <c r="H37" i="22"/>
  <c r="I37" i="22"/>
  <c r="J37" i="22"/>
  <c r="G37" i="22"/>
  <c r="H27" i="22"/>
  <c r="I27" i="22"/>
  <c r="J27" i="22"/>
  <c r="G27" i="22"/>
  <c r="H32" i="22"/>
  <c r="I32" i="22"/>
  <c r="J32" i="22"/>
  <c r="G32" i="22"/>
  <c r="H20" i="22"/>
  <c r="I20" i="22"/>
  <c r="G20" i="22"/>
  <c r="H13" i="22"/>
  <c r="I13" i="22"/>
  <c r="J13" i="22"/>
  <c r="J7" i="22" s="1"/>
  <c r="G13" i="22"/>
  <c r="G75" i="22" l="1"/>
  <c r="I34" i="22"/>
  <c r="F32" i="22"/>
  <c r="F37" i="22"/>
  <c r="H34" i="22"/>
  <c r="H94" i="20" s="1"/>
  <c r="G34" i="22"/>
  <c r="F35" i="22"/>
  <c r="F36" i="22"/>
  <c r="F38" i="22"/>
  <c r="F41" i="22"/>
  <c r="I7" i="22"/>
  <c r="I94" i="20" s="1"/>
  <c r="H7" i="22"/>
  <c r="F27" i="22"/>
  <c r="F14" i="22"/>
  <c r="F18" i="22"/>
  <c r="F25" i="22"/>
  <c r="F13" i="22"/>
  <c r="G7" i="22"/>
  <c r="F20" i="22"/>
  <c r="G37" i="20"/>
  <c r="F37" i="20" s="1"/>
  <c r="F38" i="20"/>
  <c r="I93" i="20"/>
  <c r="I83" i="20" s="1"/>
  <c r="F27" i="20"/>
  <c r="F24" i="20"/>
  <c r="F33" i="20"/>
  <c r="H93" i="20"/>
  <c r="H83" i="20" s="1"/>
  <c r="I19" i="20"/>
  <c r="J19" i="20"/>
  <c r="F15" i="20"/>
  <c r="J9" i="20"/>
  <c r="I90" i="20"/>
  <c r="I9" i="20"/>
  <c r="H9" i="20"/>
  <c r="H90" i="20"/>
  <c r="F12" i="20"/>
  <c r="F10" i="20"/>
  <c r="F16" i="20"/>
  <c r="C39" i="19"/>
  <c r="C36" i="19" s="1"/>
  <c r="J18" i="20" l="1"/>
  <c r="F75" i="22"/>
  <c r="H19" i="20"/>
  <c r="F39" i="20"/>
  <c r="F34" i="22"/>
  <c r="F7" i="22"/>
  <c r="I95" i="20"/>
  <c r="G19" i="20"/>
  <c r="H95" i="20"/>
  <c r="G83" i="20"/>
  <c r="H18" i="20"/>
  <c r="I18" i="20"/>
  <c r="AB29" i="9"/>
  <c r="AB30" i="9"/>
  <c r="AC29" i="9"/>
  <c r="AC30" i="9"/>
  <c r="AD29" i="9"/>
  <c r="AD30" i="9"/>
  <c r="AE29" i="9"/>
  <c r="AE30" i="9"/>
  <c r="AC28" i="9"/>
  <c r="L29" i="9"/>
  <c r="L30" i="9"/>
  <c r="AD28" i="9"/>
  <c r="AE28" i="9"/>
  <c r="AB28" i="9"/>
  <c r="AC32" i="9"/>
  <c r="AD32" i="9"/>
  <c r="AE32" i="9"/>
  <c r="AB32" i="9"/>
  <c r="AC31" i="9"/>
  <c r="AD31" i="9"/>
  <c r="AE31" i="9"/>
  <c r="AB31" i="9"/>
  <c r="L31" i="9"/>
  <c r="L32" i="9"/>
  <c r="Q28" i="9"/>
  <c r="Q31" i="9"/>
  <c r="Q32" i="9"/>
  <c r="F19" i="20" l="1"/>
  <c r="I59" i="20"/>
  <c r="H59" i="20"/>
  <c r="J59" i="20"/>
  <c r="J82" i="20" s="1"/>
  <c r="G95" i="20"/>
  <c r="G67" i="20"/>
  <c r="F69" i="20"/>
  <c r="F17" i="20"/>
  <c r="G9" i="20"/>
  <c r="AA29" i="9"/>
  <c r="AA30" i="9"/>
  <c r="AA32" i="9"/>
  <c r="AA28" i="9"/>
  <c r="AA31" i="9"/>
  <c r="G96" i="20" l="1"/>
  <c r="F67" i="20"/>
  <c r="I82" i="20"/>
  <c r="I70" i="20"/>
  <c r="H82" i="20"/>
  <c r="H70" i="20"/>
  <c r="J70" i="20"/>
  <c r="F9" i="20"/>
  <c r="G18" i="20"/>
  <c r="B38" i="27"/>
  <c r="B36" i="27"/>
  <c r="D68" i="14"/>
  <c r="D81" i="14"/>
  <c r="D82" i="14"/>
  <c r="E82" i="14"/>
  <c r="D86" i="14"/>
  <c r="E86" i="14"/>
  <c r="D95" i="14"/>
  <c r="F124" i="14"/>
  <c r="F125" i="14"/>
  <c r="D124" i="14"/>
  <c r="D125" i="14"/>
  <c r="C124" i="14"/>
  <c r="C125" i="14"/>
  <c r="D107" i="14"/>
  <c r="D94" i="14" s="1"/>
  <c r="D103" i="14"/>
  <c r="D98" i="14"/>
  <c r="D51" i="14"/>
  <c r="F18" i="20" l="1"/>
  <c r="G59" i="20"/>
  <c r="D110" i="14"/>
  <c r="D111" i="14" s="1"/>
  <c r="N11" i="10"/>
  <c r="N12" i="10"/>
  <c r="N13" i="10"/>
  <c r="N19" i="10"/>
  <c r="D128" i="14"/>
  <c r="F128" i="14"/>
  <c r="D129" i="14"/>
  <c r="C128" i="14"/>
  <c r="C129" i="14"/>
  <c r="H23" i="18"/>
  <c r="I23" i="18"/>
  <c r="J23" i="18"/>
  <c r="F82" i="14"/>
  <c r="G82" i="14" s="1"/>
  <c r="H82" i="14" s="1"/>
  <c r="I82" i="14" s="1"/>
  <c r="H9" i="18"/>
  <c r="I9" i="18"/>
  <c r="J9" i="18"/>
  <c r="J16" i="18"/>
  <c r="I16" i="18"/>
  <c r="H16" i="18"/>
  <c r="G16" i="18"/>
  <c r="J8" i="18"/>
  <c r="I8" i="18"/>
  <c r="H8" i="18"/>
  <c r="E8" i="18"/>
  <c r="C28" i="19"/>
  <c r="D28" i="19"/>
  <c r="D31" i="19"/>
  <c r="D26" i="18" s="1"/>
  <c r="D76" i="14"/>
  <c r="F16" i="18" l="1"/>
  <c r="G70" i="20"/>
  <c r="F59" i="20"/>
  <c r="G82" i="20"/>
  <c r="N23" i="10"/>
  <c r="J90" i="20"/>
  <c r="J93" i="20"/>
  <c r="J91" i="20"/>
  <c r="F82" i="20" l="1"/>
  <c r="F70" i="20"/>
  <c r="J29" i="19"/>
  <c r="F29" i="19" s="1"/>
  <c r="F91" i="20"/>
  <c r="J83" i="20"/>
  <c r="F93" i="20"/>
  <c r="F90" i="20"/>
  <c r="J25" i="19"/>
  <c r="D55" i="14"/>
  <c r="E55" i="14"/>
  <c r="D54" i="14"/>
  <c r="D57" i="14"/>
  <c r="C17" i="20"/>
  <c r="F100" i="14" l="1"/>
  <c r="J24" i="18"/>
  <c r="F24" i="18" s="1"/>
  <c r="J19" i="19"/>
  <c r="F19" i="19" s="1"/>
  <c r="F25" i="19"/>
  <c r="C9" i="20"/>
  <c r="F83" i="20"/>
  <c r="J94" i="20"/>
  <c r="F55" i="14"/>
  <c r="D37" i="27"/>
  <c r="I20" i="18"/>
  <c r="J29" i="18"/>
  <c r="H20" i="18"/>
  <c r="D56" i="14"/>
  <c r="F94" i="20" l="1"/>
  <c r="J20" i="18"/>
  <c r="F29" i="18"/>
  <c r="C18" i="20"/>
  <c r="F56" i="14"/>
  <c r="D35" i="27"/>
  <c r="F57" i="14"/>
  <c r="J12" i="3"/>
  <c r="F12" i="3" s="1"/>
  <c r="J10" i="3"/>
  <c r="F10" i="3" s="1"/>
  <c r="J9" i="3"/>
  <c r="J7" i="3" l="1"/>
  <c r="F7" i="3" s="1"/>
  <c r="G18" i="11" s="1"/>
  <c r="F9" i="3"/>
  <c r="D89" i="14"/>
  <c r="E19" i="11" s="1"/>
  <c r="C22" i="27"/>
  <c r="H13" i="10" l="1"/>
  <c r="C25" i="27"/>
  <c r="D25" i="27"/>
  <c r="B25" i="27"/>
  <c r="C24" i="27"/>
  <c r="B24" i="27"/>
  <c r="C23" i="27"/>
  <c r="B23" i="27"/>
  <c r="C19" i="27"/>
  <c r="D19" i="27"/>
  <c r="B19" i="27"/>
  <c r="C21" i="27"/>
  <c r="D21" i="27"/>
  <c r="B21" i="27"/>
  <c r="B22" i="27"/>
  <c r="E25" i="27" l="1"/>
  <c r="F25" i="27" s="1"/>
  <c r="G25" i="27"/>
  <c r="H25" i="27" s="1"/>
  <c r="E21" i="27"/>
  <c r="F21" i="27" s="1"/>
  <c r="G21" i="27"/>
  <c r="H21" i="27" s="1"/>
  <c r="E19" i="27"/>
  <c r="F19" i="27" s="1"/>
  <c r="G19" i="27"/>
  <c r="H19" i="27" s="1"/>
  <c r="N17" i="10"/>
  <c r="E125" i="14"/>
  <c r="L13" i="10"/>
  <c r="N15" i="10"/>
  <c r="N16" i="10"/>
  <c r="N20" i="10"/>
  <c r="L16" i="10"/>
  <c r="L20" i="10"/>
  <c r="F89" i="14"/>
  <c r="H19" i="23"/>
  <c r="H17" i="23" s="1"/>
  <c r="H33" i="18" s="1"/>
  <c r="I19" i="23"/>
  <c r="I17" i="23" s="1"/>
  <c r="I33" i="18" s="1"/>
  <c r="J19" i="23"/>
  <c r="J17" i="23" s="1"/>
  <c r="J33" i="18" s="1"/>
  <c r="G19" i="23"/>
  <c r="D16" i="18"/>
  <c r="D8" i="18" s="1"/>
  <c r="G19" i="11" l="1"/>
  <c r="G17" i="23"/>
  <c r="F19" i="23"/>
  <c r="F130" i="14"/>
  <c r="F126" i="14"/>
  <c r="F129" i="14"/>
  <c r="N24" i="10"/>
  <c r="G33" i="18" l="1"/>
  <c r="F33" i="18" s="1"/>
  <c r="F17" i="23"/>
  <c r="E51" i="14"/>
  <c r="D59" i="10"/>
  <c r="C33" i="18" l="1"/>
  <c r="E72" i="22"/>
  <c r="D24" i="27" s="1"/>
  <c r="E24" i="27" l="1"/>
  <c r="F24" i="27" s="1"/>
  <c r="G24" i="27"/>
  <c r="H24" i="27" s="1"/>
  <c r="Z33" i="10" l="1"/>
  <c r="S24" i="9"/>
  <c r="T24" i="9"/>
  <c r="U24" i="9"/>
  <c r="R24" i="9"/>
  <c r="Q25" i="9"/>
  <c r="Q26" i="9"/>
  <c r="Q27" i="9"/>
  <c r="C36" i="10" l="1"/>
  <c r="C37" i="10"/>
  <c r="C41" i="10"/>
  <c r="C40" i="10"/>
  <c r="C34" i="10"/>
  <c r="C39" i="10"/>
  <c r="C43" i="10"/>
  <c r="C38" i="10"/>
  <c r="C42" i="10"/>
  <c r="C44" i="10" l="1"/>
  <c r="M59" i="10"/>
  <c r="C107" i="14"/>
  <c r="D39" i="19"/>
  <c r="H39" i="19"/>
  <c r="I31" i="18" s="1"/>
  <c r="I39" i="19"/>
  <c r="J39" i="19"/>
  <c r="C31" i="19"/>
  <c r="C26" i="18" s="1"/>
  <c r="C21" i="18" s="1"/>
  <c r="C18" i="18" s="1"/>
  <c r="H31" i="19"/>
  <c r="H26" i="18" s="1"/>
  <c r="I31" i="19"/>
  <c r="I26" i="18" s="1"/>
  <c r="J31" i="19"/>
  <c r="J26" i="18" s="1"/>
  <c r="B40" i="14"/>
  <c r="N14" i="10"/>
  <c r="J31" i="18" l="1"/>
  <c r="B35" i="10" l="1"/>
  <c r="B39" i="10"/>
  <c r="B43" i="10"/>
  <c r="B34" i="10"/>
  <c r="B44" i="10" s="1"/>
  <c r="B38" i="10"/>
  <c r="B42" i="10"/>
  <c r="B37" i="10"/>
  <c r="B41" i="10"/>
  <c r="B36" i="10"/>
  <c r="B40" i="10"/>
  <c r="C51" i="20"/>
  <c r="C48" i="20" s="1"/>
  <c r="C39" i="20"/>
  <c r="D22" i="27"/>
  <c r="C19" i="20" l="1"/>
  <c r="B34" i="27" s="1"/>
  <c r="G22" i="27"/>
  <c r="H22" i="27" s="1"/>
  <c r="E22" i="27"/>
  <c r="F22" i="27" s="1"/>
  <c r="C58" i="20"/>
  <c r="C94" i="20" s="1"/>
  <c r="C95" i="20" s="1"/>
  <c r="C49" i="18"/>
  <c r="C52" i="20" l="1"/>
  <c r="B35" i="27" s="1"/>
  <c r="E35" i="27" s="1"/>
  <c r="F35" i="27" s="1"/>
  <c r="D13" i="27"/>
  <c r="B13" i="27"/>
  <c r="C59" i="20" l="1"/>
  <c r="E13" i="27"/>
  <c r="F13" i="27" s="1"/>
  <c r="G13" i="27"/>
  <c r="H13" i="27" s="1"/>
  <c r="B83" i="27"/>
  <c r="B82" i="27"/>
  <c r="B81" i="27"/>
  <c r="B80" i="27"/>
  <c r="B79" i="27"/>
  <c r="B78" i="27"/>
  <c r="B77" i="27"/>
  <c r="A56" i="27"/>
  <c r="A55" i="27"/>
  <c r="A54" i="27"/>
  <c r="A53" i="27"/>
  <c r="D52" i="27"/>
  <c r="A52" i="27"/>
  <c r="D51" i="27"/>
  <c r="B51" i="27"/>
  <c r="A51" i="27"/>
  <c r="D50" i="27"/>
  <c r="B50" i="27"/>
  <c r="A50" i="27"/>
  <c r="A49" i="27"/>
  <c r="D48" i="27"/>
  <c r="C48" i="27"/>
  <c r="B48" i="27"/>
  <c r="A48" i="27"/>
  <c r="D47" i="27"/>
  <c r="B47" i="27"/>
  <c r="A47" i="27"/>
  <c r="D46" i="27"/>
  <c r="B46" i="27"/>
  <c r="A46" i="27"/>
  <c r="D17" i="27"/>
  <c r="B17" i="27"/>
  <c r="A17" i="27"/>
  <c r="D16" i="27"/>
  <c r="B16" i="27"/>
  <c r="A16" i="27"/>
  <c r="D15" i="27"/>
  <c r="B15" i="27"/>
  <c r="A15" i="27"/>
  <c r="D14" i="27"/>
  <c r="C14" i="27"/>
  <c r="B14" i="27"/>
  <c r="A14" i="27"/>
  <c r="D12" i="27"/>
  <c r="B12" i="27"/>
  <c r="A12" i="27"/>
  <c r="D11" i="27"/>
  <c r="C11" i="27"/>
  <c r="B11" i="27"/>
  <c r="A11" i="27"/>
  <c r="D10" i="27"/>
  <c r="B10" i="27"/>
  <c r="A10" i="27"/>
  <c r="D9" i="27"/>
  <c r="B9" i="27"/>
  <c r="A9" i="27"/>
  <c r="D8" i="27"/>
  <c r="B8" i="27"/>
  <c r="A8" i="27"/>
  <c r="E11" i="27" l="1"/>
  <c r="F11" i="27" s="1"/>
  <c r="G11" i="27"/>
  <c r="H11" i="27" s="1"/>
  <c r="E17" i="27"/>
  <c r="F17" i="27" s="1"/>
  <c r="G17" i="27"/>
  <c r="H17" i="27" s="1"/>
  <c r="E16" i="27"/>
  <c r="F16" i="27" s="1"/>
  <c r="G16" i="27"/>
  <c r="H16" i="27" s="1"/>
  <c r="E8" i="27"/>
  <c r="F8" i="27" s="1"/>
  <c r="G8" i="27"/>
  <c r="H8" i="27" s="1"/>
  <c r="G15" i="27"/>
  <c r="H15" i="27" s="1"/>
  <c r="E15" i="27"/>
  <c r="F15" i="27" s="1"/>
  <c r="E47" i="27"/>
  <c r="F47" i="27" s="1"/>
  <c r="E48" i="27"/>
  <c r="F48" i="27" s="1"/>
  <c r="G48" i="27"/>
  <c r="H48" i="27" s="1"/>
  <c r="E50" i="27"/>
  <c r="F50" i="27" s="1"/>
  <c r="E10" i="27"/>
  <c r="F10" i="27" s="1"/>
  <c r="G10" i="27"/>
  <c r="H10" i="27" s="1"/>
  <c r="G9" i="27"/>
  <c r="H9" i="27" s="1"/>
  <c r="E9" i="27"/>
  <c r="F9" i="27" s="1"/>
  <c r="E51" i="27"/>
  <c r="F51" i="27" s="1"/>
  <c r="G12" i="27"/>
  <c r="H12" i="27" s="1"/>
  <c r="E12" i="27"/>
  <c r="F12" i="27" s="1"/>
  <c r="E14" i="27"/>
  <c r="F14" i="27" s="1"/>
  <c r="G14" i="27"/>
  <c r="H14" i="27" s="1"/>
  <c r="E46" i="27"/>
  <c r="F46" i="27" s="1"/>
  <c r="D18" i="27"/>
  <c r="C18" i="27"/>
  <c r="D45" i="27"/>
  <c r="B18" i="27"/>
  <c r="D49" i="27"/>
  <c r="B45" i="27"/>
  <c r="E18" i="27" l="1"/>
  <c r="F18" i="27" s="1"/>
  <c r="E45" i="27"/>
  <c r="F45" i="27" s="1"/>
  <c r="G18" i="27"/>
  <c r="H18" i="27" s="1"/>
  <c r="B7" i="27"/>
  <c r="C7" i="27"/>
  <c r="E42" i="23" l="1"/>
  <c r="E40" i="23" s="1"/>
  <c r="E61" i="18"/>
  <c r="E56" i="18"/>
  <c r="E71" i="22"/>
  <c r="E70" i="22" s="1"/>
  <c r="E66" i="20" s="1"/>
  <c r="E64" i="20" s="1"/>
  <c r="E69" i="22"/>
  <c r="E60" i="22" s="1"/>
  <c r="E58" i="20" s="1"/>
  <c r="E52" i="20" s="1"/>
  <c r="E47" i="18" l="1"/>
  <c r="E44" i="18" s="1"/>
  <c r="E41" i="18" s="1"/>
  <c r="E28" i="23"/>
  <c r="D23" i="27"/>
  <c r="D7" i="27" s="1"/>
  <c r="E57" i="14"/>
  <c r="C35" i="27"/>
  <c r="G35" i="27" s="1"/>
  <c r="H35" i="27" s="1"/>
  <c r="H15" i="10"/>
  <c r="H14" i="10" s="1"/>
  <c r="L19" i="10"/>
  <c r="E19" i="23"/>
  <c r="E17" i="23" s="1"/>
  <c r="E33" i="18" s="1"/>
  <c r="C50" i="27"/>
  <c r="G50" i="27" s="1"/>
  <c r="H50" i="27" s="1"/>
  <c r="C51" i="27"/>
  <c r="G51" i="27" s="1"/>
  <c r="H51" i="27" s="1"/>
  <c r="C69" i="20"/>
  <c r="C67" i="20" s="1"/>
  <c r="C79" i="20" s="1"/>
  <c r="E7" i="27" l="1"/>
  <c r="F7" i="27" s="1"/>
  <c r="G7" i="27"/>
  <c r="H7" i="27" s="1"/>
  <c r="E23" i="27"/>
  <c r="F23" i="27" s="1"/>
  <c r="G23" i="27"/>
  <c r="H23" i="27" s="1"/>
  <c r="L15" i="10"/>
  <c r="D58" i="10"/>
  <c r="E22" i="24"/>
  <c r="E19" i="24" l="1"/>
  <c r="M58" i="10"/>
  <c r="D57" i="10"/>
  <c r="Z34" i="10"/>
  <c r="Z35" i="10"/>
  <c r="Z36" i="10"/>
  <c r="Z37" i="10"/>
  <c r="Z38" i="10"/>
  <c r="Z39" i="10"/>
  <c r="Z40" i="10"/>
  <c r="Z41" i="10"/>
  <c r="Z42" i="10"/>
  <c r="Z43" i="10"/>
  <c r="E10" i="3" l="1"/>
  <c r="E7" i="3" s="1"/>
  <c r="E6" i="24"/>
  <c r="AE26" i="9"/>
  <c r="AA26" i="9" s="1"/>
  <c r="V25" i="9"/>
  <c r="V26" i="9"/>
  <c r="Z24" i="9"/>
  <c r="E89" i="14" l="1"/>
  <c r="F18" i="11"/>
  <c r="AE38" i="9"/>
  <c r="R37" i="9"/>
  <c r="S37" i="9"/>
  <c r="T37" i="9"/>
  <c r="U37" i="9"/>
  <c r="AE36" i="9"/>
  <c r="E99" i="14" l="1"/>
  <c r="F19" i="11"/>
  <c r="C66" i="20"/>
  <c r="C64" i="20" s="1"/>
  <c r="AE37" i="9"/>
  <c r="F20" i="11" l="1"/>
  <c r="E98" i="14"/>
  <c r="E97" i="14" s="1"/>
  <c r="E103" i="14" s="1"/>
  <c r="F10" i="11" s="1"/>
  <c r="F99" i="14"/>
  <c r="C78" i="20"/>
  <c r="C70" i="20"/>
  <c r="C75" i="20" s="1"/>
  <c r="AE25" i="9"/>
  <c r="K24" i="9"/>
  <c r="Z191" i="26"/>
  <c r="Y191" i="26"/>
  <c r="X191" i="26"/>
  <c r="V103" i="26"/>
  <c r="V104" i="26"/>
  <c r="V105" i="26"/>
  <c r="V108" i="26"/>
  <c r="V109" i="26"/>
  <c r="V110" i="26"/>
  <c r="V112" i="26"/>
  <c r="V113" i="26"/>
  <c r="V114" i="26"/>
  <c r="V116" i="26"/>
  <c r="V117" i="26"/>
  <c r="V118" i="26"/>
  <c r="V120" i="26"/>
  <c r="V121" i="26"/>
  <c r="V122" i="26"/>
  <c r="V125" i="26"/>
  <c r="V126" i="26"/>
  <c r="V127" i="26"/>
  <c r="V129" i="26"/>
  <c r="V130" i="26"/>
  <c r="V131" i="26"/>
  <c r="V133" i="26"/>
  <c r="V134" i="26"/>
  <c r="V135" i="26"/>
  <c r="V137" i="26"/>
  <c r="V138" i="26"/>
  <c r="V139" i="26"/>
  <c r="V142" i="26"/>
  <c r="V143" i="26"/>
  <c r="V144" i="26"/>
  <c r="V146" i="26"/>
  <c r="V147" i="26"/>
  <c r="V148" i="26"/>
  <c r="V150" i="26"/>
  <c r="V151" i="26"/>
  <c r="V152" i="26"/>
  <c r="V154" i="26"/>
  <c r="V155" i="26"/>
  <c r="V156" i="26"/>
  <c r="V159" i="26"/>
  <c r="V160" i="26"/>
  <c r="V161" i="26"/>
  <c r="V163" i="26"/>
  <c r="V164" i="26"/>
  <c r="V165" i="26"/>
  <c r="V167" i="26"/>
  <c r="V168" i="26"/>
  <c r="V169" i="26"/>
  <c r="V171" i="26"/>
  <c r="V172" i="26"/>
  <c r="V173" i="26"/>
  <c r="V176" i="26"/>
  <c r="V177" i="26"/>
  <c r="V178" i="26"/>
  <c r="V180" i="26"/>
  <c r="V181" i="26"/>
  <c r="V182" i="26"/>
  <c r="V184" i="26"/>
  <c r="V101" i="26"/>
  <c r="U187" i="26"/>
  <c r="Y187" i="26" s="1"/>
  <c r="U183" i="26"/>
  <c r="Y183" i="26" s="1"/>
  <c r="U179" i="26"/>
  <c r="Y179" i="26" s="1"/>
  <c r="U174" i="26"/>
  <c r="Y174" i="26" s="1"/>
  <c r="U170" i="26"/>
  <c r="Y170" i="26" s="1"/>
  <c r="U166" i="26"/>
  <c r="Y166" i="26" s="1"/>
  <c r="U162" i="26"/>
  <c r="Y162" i="26" s="1"/>
  <c r="U157" i="26"/>
  <c r="Y157" i="26" s="1"/>
  <c r="U153" i="26"/>
  <c r="Y153" i="26" s="1"/>
  <c r="U149" i="26"/>
  <c r="Y149" i="26" s="1"/>
  <c r="U145" i="26"/>
  <c r="Y145" i="26" s="1"/>
  <c r="U140" i="26"/>
  <c r="Y140" i="26" s="1"/>
  <c r="J62" i="18" s="1"/>
  <c r="F62" i="18" s="1"/>
  <c r="U136" i="26"/>
  <c r="Y136" i="26" s="1"/>
  <c r="U132" i="26"/>
  <c r="Y132" i="26" s="1"/>
  <c r="U128" i="26"/>
  <c r="R47" i="26"/>
  <c r="R51" i="26"/>
  <c r="R55" i="26"/>
  <c r="R60" i="26"/>
  <c r="R64" i="26"/>
  <c r="R68" i="26"/>
  <c r="R72" i="26"/>
  <c r="R77" i="26"/>
  <c r="R81" i="26"/>
  <c r="R85" i="26"/>
  <c r="R89" i="26"/>
  <c r="R94" i="26"/>
  <c r="R102" i="26"/>
  <c r="R128" i="26"/>
  <c r="R141" i="26" s="1"/>
  <c r="S128" i="26"/>
  <c r="S141" i="26" s="1"/>
  <c r="Q127" i="26"/>
  <c r="Q126" i="26"/>
  <c r="Q125" i="26"/>
  <c r="F98" i="14" l="1"/>
  <c r="F97" i="14" s="1"/>
  <c r="F103" i="14" s="1"/>
  <c r="G10" i="11" s="1"/>
  <c r="G20" i="11"/>
  <c r="Q128" i="26"/>
  <c r="Q141" i="26" s="1"/>
  <c r="Y128" i="26"/>
  <c r="D36" i="27" s="1"/>
  <c r="Y176" i="26"/>
  <c r="Y159" i="26"/>
  <c r="Y193" i="26"/>
  <c r="AA25" i="9"/>
  <c r="R73" i="26"/>
  <c r="R90" i="26"/>
  <c r="R56" i="26"/>
  <c r="U192" i="26"/>
  <c r="Y192" i="26" s="1"/>
  <c r="U175" i="26"/>
  <c r="Y175" i="26" s="1"/>
  <c r="U158" i="26"/>
  <c r="Y158" i="26" s="1"/>
  <c r="R98" i="26"/>
  <c r="E36" i="27" l="1"/>
  <c r="F36" i="27" s="1"/>
  <c r="Y142" i="26"/>
  <c r="T187" i="26"/>
  <c r="T183" i="26"/>
  <c r="T179" i="26"/>
  <c r="X179" i="26" s="1"/>
  <c r="T174" i="26"/>
  <c r="T170" i="26"/>
  <c r="T166" i="26"/>
  <c r="T162" i="26"/>
  <c r="X162" i="26" s="1"/>
  <c r="T157" i="26"/>
  <c r="T153" i="26"/>
  <c r="T149" i="26"/>
  <c r="T145" i="26"/>
  <c r="X145" i="26" s="1"/>
  <c r="U141" i="26"/>
  <c r="Y141" i="26" s="1"/>
  <c r="T140" i="26"/>
  <c r="T136" i="26"/>
  <c r="T132" i="26"/>
  <c r="T128" i="26"/>
  <c r="T123" i="26"/>
  <c r="U123" i="26"/>
  <c r="T119" i="26"/>
  <c r="U119" i="26"/>
  <c r="T115" i="26"/>
  <c r="U115" i="26"/>
  <c r="T111" i="26"/>
  <c r="U111" i="26"/>
  <c r="V128" i="26" l="1"/>
  <c r="Z128" i="26" s="1"/>
  <c r="X128" i="26"/>
  <c r="V157" i="26"/>
  <c r="Z157" i="26" s="1"/>
  <c r="X157" i="26"/>
  <c r="V136" i="26"/>
  <c r="X136" i="26"/>
  <c r="V149" i="26"/>
  <c r="Z149" i="26" s="1"/>
  <c r="X149" i="26"/>
  <c r="V166" i="26"/>
  <c r="Z166" i="26" s="1"/>
  <c r="X166" i="26"/>
  <c r="V183" i="26"/>
  <c r="Z183" i="26" s="1"/>
  <c r="X183" i="26"/>
  <c r="V174" i="26"/>
  <c r="Z174" i="26" s="1"/>
  <c r="X174" i="26"/>
  <c r="V119" i="26"/>
  <c r="V132" i="26"/>
  <c r="Z132" i="26" s="1"/>
  <c r="X132" i="26"/>
  <c r="V115" i="26"/>
  <c r="V140" i="26"/>
  <c r="Z140" i="26" s="1"/>
  <c r="X140" i="26"/>
  <c r="V153" i="26"/>
  <c r="Z153" i="26" s="1"/>
  <c r="X153" i="26"/>
  <c r="V170" i="26"/>
  <c r="Z170" i="26" s="1"/>
  <c r="X170" i="26"/>
  <c r="V187" i="26"/>
  <c r="Z187" i="26" s="1"/>
  <c r="X187" i="26"/>
  <c r="T124" i="26"/>
  <c r="V111" i="26"/>
  <c r="T175" i="26"/>
  <c r="V162" i="26"/>
  <c r="Z162" i="26" s="1"/>
  <c r="V123" i="26"/>
  <c r="T158" i="26"/>
  <c r="V145" i="26"/>
  <c r="Z145" i="26" s="1"/>
  <c r="T192" i="26"/>
  <c r="X192" i="26" s="1"/>
  <c r="V179" i="26"/>
  <c r="T141" i="26"/>
  <c r="U124" i="26"/>
  <c r="AC27" i="9"/>
  <c r="AC24" i="9" s="1"/>
  <c r="AC35" i="9"/>
  <c r="AD35" i="9"/>
  <c r="AE35" i="9"/>
  <c r="G27" i="9"/>
  <c r="H24" i="9"/>
  <c r="I24" i="9"/>
  <c r="J24" i="9"/>
  <c r="W24" i="9"/>
  <c r="X24" i="9"/>
  <c r="Y24" i="9"/>
  <c r="N24" i="9"/>
  <c r="O24" i="9"/>
  <c r="P27" i="9"/>
  <c r="P24" i="9" s="1"/>
  <c r="M27" i="9"/>
  <c r="AB27" i="9" s="1"/>
  <c r="X176" i="26" l="1"/>
  <c r="X193" i="26"/>
  <c r="X159" i="26"/>
  <c r="Z159" i="26"/>
  <c r="V175" i="26"/>
  <c r="Z175" i="26" s="1"/>
  <c r="X175" i="26"/>
  <c r="V141" i="26"/>
  <c r="X141" i="26"/>
  <c r="V192" i="26"/>
  <c r="Z192" i="26" s="1"/>
  <c r="Z179" i="26"/>
  <c r="Z193" i="26" s="1"/>
  <c r="V124" i="26"/>
  <c r="X142" i="26"/>
  <c r="V158" i="26"/>
  <c r="Z158" i="26" s="1"/>
  <c r="X158" i="26"/>
  <c r="Z176" i="26"/>
  <c r="AB24" i="9"/>
  <c r="G24" i="9"/>
  <c r="AD27" i="9"/>
  <c r="AD24" i="9" s="1"/>
  <c r="AE27" i="9"/>
  <c r="AE24" i="9" s="1"/>
  <c r="L27" i="9"/>
  <c r="M24" i="9"/>
  <c r="V24" i="9"/>
  <c r="Q24" i="9"/>
  <c r="W199" i="26" l="1"/>
  <c r="AA27" i="9"/>
  <c r="L24" i="9"/>
  <c r="AA24" i="9"/>
  <c r="D54" i="27" l="1"/>
  <c r="D55" i="27"/>
  <c r="D56" i="27"/>
  <c r="M62" i="10"/>
  <c r="M63" i="10"/>
  <c r="G9" i="18"/>
  <c r="C46" i="18"/>
  <c r="D77" i="27"/>
  <c r="F9" i="18" l="1"/>
  <c r="G8" i="18"/>
  <c r="F8" i="18" s="1"/>
  <c r="E77" i="27"/>
  <c r="F77" i="27" s="1"/>
  <c r="J92" i="20"/>
  <c r="G38" i="19"/>
  <c r="C47" i="18"/>
  <c r="C44" i="18" s="1"/>
  <c r="C41" i="18" s="1"/>
  <c r="C52" i="18" s="1"/>
  <c r="Z44" i="10"/>
  <c r="G30" i="18" l="1"/>
  <c r="F92" i="20"/>
  <c r="J95" i="20"/>
  <c r="F54" i="14"/>
  <c r="D34" i="27"/>
  <c r="H38" i="19"/>
  <c r="H101" i="20"/>
  <c r="I38" i="19"/>
  <c r="I101" i="20"/>
  <c r="J38" i="19"/>
  <c r="J36" i="19" s="1"/>
  <c r="J101" i="20" l="1"/>
  <c r="I30" i="18"/>
  <c r="I36" i="19"/>
  <c r="H30" i="18"/>
  <c r="H36" i="19"/>
  <c r="F38" i="19"/>
  <c r="F95" i="20"/>
  <c r="F96" i="20" s="1"/>
  <c r="E34" i="27"/>
  <c r="F34" i="27" s="1"/>
  <c r="J30" i="18"/>
  <c r="D33" i="27"/>
  <c r="F52" i="14"/>
  <c r="B33" i="27"/>
  <c r="J60" i="10"/>
  <c r="F30" i="18" l="1"/>
  <c r="E33" i="27"/>
  <c r="F33" i="27" s="1"/>
  <c r="C101" i="20"/>
  <c r="D60" i="10"/>
  <c r="M60" i="10" s="1"/>
  <c r="M61" i="10"/>
  <c r="W16" i="9" l="1"/>
  <c r="T16" i="9"/>
  <c r="Q16" i="9"/>
  <c r="F76" i="14" l="1"/>
  <c r="C83" i="20"/>
  <c r="C74" i="14"/>
  <c r="C103" i="14" l="1"/>
  <c r="G39" i="19" l="1"/>
  <c r="G31" i="19"/>
  <c r="H31" i="18" l="1"/>
  <c r="F31" i="18" s="1"/>
  <c r="F39" i="19"/>
  <c r="G36" i="19"/>
  <c r="F36" i="19" s="1"/>
  <c r="G26" i="18"/>
  <c r="F31" i="19"/>
  <c r="S123" i="26"/>
  <c r="R123" i="26"/>
  <c r="X123" i="26" s="1"/>
  <c r="Q122" i="26"/>
  <c r="Q121" i="26"/>
  <c r="Q120" i="26"/>
  <c r="S119" i="26"/>
  <c r="R119" i="26"/>
  <c r="O119" i="26"/>
  <c r="N119" i="26"/>
  <c r="Q118" i="26"/>
  <c r="P118" i="26"/>
  <c r="Q117" i="26"/>
  <c r="P117" i="26"/>
  <c r="Q116" i="26"/>
  <c r="P116" i="26"/>
  <c r="S115" i="26"/>
  <c r="R115" i="26"/>
  <c r="O115" i="26"/>
  <c r="N115" i="26"/>
  <c r="L115" i="26"/>
  <c r="K115" i="26"/>
  <c r="Q114" i="26"/>
  <c r="P114" i="26"/>
  <c r="Q113" i="26"/>
  <c r="P113" i="26"/>
  <c r="M113" i="26"/>
  <c r="Q112" i="26"/>
  <c r="P112" i="26"/>
  <c r="M112" i="26"/>
  <c r="S111" i="26"/>
  <c r="R111" i="26"/>
  <c r="O111" i="26"/>
  <c r="N111" i="26"/>
  <c r="L111" i="26"/>
  <c r="K111" i="26"/>
  <c r="Q110" i="26"/>
  <c r="P110" i="26"/>
  <c r="M110" i="26"/>
  <c r="Q109" i="26"/>
  <c r="P109" i="26"/>
  <c r="M109" i="26"/>
  <c r="Q108" i="26"/>
  <c r="P108" i="26"/>
  <c r="M108" i="26"/>
  <c r="U106" i="26"/>
  <c r="T106" i="26"/>
  <c r="S106" i="26"/>
  <c r="R106" i="26"/>
  <c r="R107" i="26" s="1"/>
  <c r="O106" i="26"/>
  <c r="N106" i="26"/>
  <c r="L106" i="26"/>
  <c r="K106" i="26"/>
  <c r="I106" i="26"/>
  <c r="H106" i="26"/>
  <c r="F106" i="26"/>
  <c r="E106" i="26"/>
  <c r="Q105" i="26"/>
  <c r="P105" i="26"/>
  <c r="M105" i="26"/>
  <c r="J105" i="26"/>
  <c r="G105" i="26"/>
  <c r="Q104" i="26"/>
  <c r="P104" i="26"/>
  <c r="M104" i="26"/>
  <c r="J104" i="26"/>
  <c r="G104" i="26"/>
  <c r="Q103" i="26"/>
  <c r="P103" i="26"/>
  <c r="M103" i="26"/>
  <c r="J103" i="26"/>
  <c r="G103" i="26"/>
  <c r="U102" i="26"/>
  <c r="T102" i="26"/>
  <c r="S102" i="26"/>
  <c r="O102" i="26"/>
  <c r="N102" i="26"/>
  <c r="L102" i="26"/>
  <c r="K102" i="26"/>
  <c r="I102" i="26"/>
  <c r="H102" i="26"/>
  <c r="F102" i="26"/>
  <c r="E102" i="26"/>
  <c r="Q101" i="26"/>
  <c r="P101" i="26"/>
  <c r="M101" i="26"/>
  <c r="J101" i="26"/>
  <c r="G101" i="26"/>
  <c r="Q100" i="26"/>
  <c r="P100" i="26"/>
  <c r="M100" i="26"/>
  <c r="J100" i="26"/>
  <c r="G100" i="26"/>
  <c r="Q99" i="26"/>
  <c r="P99" i="26"/>
  <c r="M99" i="26"/>
  <c r="J99" i="26"/>
  <c r="G99" i="26"/>
  <c r="V98" i="26"/>
  <c r="U98" i="26"/>
  <c r="T98" i="26"/>
  <c r="S98" i="26"/>
  <c r="O98" i="26"/>
  <c r="N98" i="26"/>
  <c r="L98" i="26"/>
  <c r="K98" i="26"/>
  <c r="I98" i="26"/>
  <c r="H98" i="26"/>
  <c r="F98" i="26"/>
  <c r="E98" i="26"/>
  <c r="Q97" i="26"/>
  <c r="P97" i="26"/>
  <c r="M97" i="26"/>
  <c r="J97" i="26"/>
  <c r="G97" i="26"/>
  <c r="Q96" i="26"/>
  <c r="P96" i="26"/>
  <c r="M96" i="26"/>
  <c r="J96" i="26"/>
  <c r="G96" i="26"/>
  <c r="Q95" i="26"/>
  <c r="P95" i="26"/>
  <c r="M95" i="26"/>
  <c r="J95" i="26"/>
  <c r="G95" i="26"/>
  <c r="V94" i="26"/>
  <c r="U94" i="26"/>
  <c r="T94" i="26"/>
  <c r="S94" i="26"/>
  <c r="O94" i="26"/>
  <c r="N94" i="26"/>
  <c r="L94" i="26"/>
  <c r="K94" i="26"/>
  <c r="I94" i="26"/>
  <c r="H94" i="26"/>
  <c r="F94" i="26"/>
  <c r="E94" i="26"/>
  <c r="Q93" i="26"/>
  <c r="P93" i="26"/>
  <c r="M93" i="26"/>
  <c r="J93" i="26"/>
  <c r="G93" i="26"/>
  <c r="Q92" i="26"/>
  <c r="P92" i="26"/>
  <c r="M92" i="26"/>
  <c r="J92" i="26"/>
  <c r="G92" i="26"/>
  <c r="Q91" i="26"/>
  <c r="P91" i="26"/>
  <c r="M91" i="26"/>
  <c r="J91" i="26"/>
  <c r="G91" i="26"/>
  <c r="S89" i="26"/>
  <c r="O89" i="26"/>
  <c r="N89" i="26"/>
  <c r="L89" i="26"/>
  <c r="K89" i="26"/>
  <c r="I89" i="26"/>
  <c r="H89" i="26"/>
  <c r="F89" i="26"/>
  <c r="E89" i="26"/>
  <c r="Q88" i="26"/>
  <c r="P88" i="26"/>
  <c r="M88" i="26"/>
  <c r="J88" i="26"/>
  <c r="G88" i="26"/>
  <c r="Q87" i="26"/>
  <c r="P87" i="26"/>
  <c r="M87" i="26"/>
  <c r="J87" i="26"/>
  <c r="G87" i="26"/>
  <c r="Q86" i="26"/>
  <c r="P86" i="26"/>
  <c r="M86" i="26"/>
  <c r="J86" i="26"/>
  <c r="G86" i="26"/>
  <c r="S85" i="26"/>
  <c r="O85" i="26"/>
  <c r="N85" i="26"/>
  <c r="L85" i="26"/>
  <c r="K85" i="26"/>
  <c r="I85" i="26"/>
  <c r="H85" i="26"/>
  <c r="F85" i="26"/>
  <c r="E85" i="26"/>
  <c r="C85" i="26"/>
  <c r="B85" i="26"/>
  <c r="Q84" i="26"/>
  <c r="P84" i="26"/>
  <c r="M84" i="26"/>
  <c r="J84" i="26"/>
  <c r="G84" i="26"/>
  <c r="Q83" i="26"/>
  <c r="P83" i="26"/>
  <c r="M83" i="26"/>
  <c r="J83" i="26"/>
  <c r="G83" i="26"/>
  <c r="D83" i="26"/>
  <c r="Q82" i="26"/>
  <c r="P82" i="26"/>
  <c r="M82" i="26"/>
  <c r="J82" i="26"/>
  <c r="G82" i="26"/>
  <c r="D82" i="26"/>
  <c r="S81" i="26"/>
  <c r="O81" i="26"/>
  <c r="N81" i="26"/>
  <c r="L81" i="26"/>
  <c r="K81" i="26"/>
  <c r="I81" i="26"/>
  <c r="H81" i="26"/>
  <c r="F81" i="26"/>
  <c r="E81" i="26"/>
  <c r="C81" i="26"/>
  <c r="B81" i="26"/>
  <c r="Q80" i="26"/>
  <c r="P80" i="26"/>
  <c r="M80" i="26"/>
  <c r="J80" i="26"/>
  <c r="G80" i="26"/>
  <c r="D80" i="26"/>
  <c r="Q79" i="26"/>
  <c r="P79" i="26"/>
  <c r="M79" i="26"/>
  <c r="J79" i="26"/>
  <c r="G79" i="26"/>
  <c r="D79" i="26"/>
  <c r="Q78" i="26"/>
  <c r="P78" i="26"/>
  <c r="M78" i="26"/>
  <c r="J78" i="26"/>
  <c r="G78" i="26"/>
  <c r="D78" i="26"/>
  <c r="S77" i="26"/>
  <c r="O77" i="26"/>
  <c r="N77" i="26"/>
  <c r="L77" i="26"/>
  <c r="K77" i="26"/>
  <c r="I77" i="26"/>
  <c r="H77" i="26"/>
  <c r="F77" i="26"/>
  <c r="E77" i="26"/>
  <c r="C77" i="26"/>
  <c r="B77" i="26"/>
  <c r="Q76" i="26"/>
  <c r="P76" i="26"/>
  <c r="M76" i="26"/>
  <c r="J76" i="26"/>
  <c r="G76" i="26"/>
  <c r="D76" i="26"/>
  <c r="Q75" i="26"/>
  <c r="P75" i="26"/>
  <c r="M75" i="26"/>
  <c r="J75" i="26"/>
  <c r="G75" i="26"/>
  <c r="D75" i="26"/>
  <c r="Q74" i="26"/>
  <c r="P74" i="26"/>
  <c r="M74" i="26"/>
  <c r="J74" i="26"/>
  <c r="G74" i="26"/>
  <c r="D74" i="26"/>
  <c r="S72" i="26"/>
  <c r="O72" i="26"/>
  <c r="N72" i="26"/>
  <c r="L72" i="26"/>
  <c r="K72" i="26"/>
  <c r="I72" i="26"/>
  <c r="H72" i="26"/>
  <c r="F72" i="26"/>
  <c r="E72" i="26"/>
  <c r="C72" i="26"/>
  <c r="B72" i="26"/>
  <c r="Q71" i="26"/>
  <c r="P71" i="26"/>
  <c r="M71" i="26"/>
  <c r="J71" i="26"/>
  <c r="G71" i="26"/>
  <c r="D71" i="26"/>
  <c r="Q70" i="26"/>
  <c r="P70" i="26"/>
  <c r="M70" i="26"/>
  <c r="J70" i="26"/>
  <c r="G70" i="26"/>
  <c r="D70" i="26"/>
  <c r="Q69" i="26"/>
  <c r="P69" i="26"/>
  <c r="M69" i="26"/>
  <c r="J69" i="26"/>
  <c r="G69" i="26"/>
  <c r="D69" i="26"/>
  <c r="S68" i="26"/>
  <c r="O68" i="26"/>
  <c r="N68" i="26"/>
  <c r="L68" i="26"/>
  <c r="K68" i="26"/>
  <c r="I68" i="26"/>
  <c r="H68" i="26"/>
  <c r="F68" i="26"/>
  <c r="E68" i="26"/>
  <c r="C68" i="26"/>
  <c r="B68" i="26"/>
  <c r="Q67" i="26"/>
  <c r="P67" i="26"/>
  <c r="M67" i="26"/>
  <c r="J67" i="26"/>
  <c r="G67" i="26"/>
  <c r="D67" i="26"/>
  <c r="Q66" i="26"/>
  <c r="P66" i="26"/>
  <c r="M66" i="26"/>
  <c r="J66" i="26"/>
  <c r="G66" i="26"/>
  <c r="D66" i="26"/>
  <c r="Q65" i="26"/>
  <c r="P65" i="26"/>
  <c r="M65" i="26"/>
  <c r="J65" i="26"/>
  <c r="G65" i="26"/>
  <c r="D65" i="26"/>
  <c r="S64" i="26"/>
  <c r="O64" i="26"/>
  <c r="N64" i="26"/>
  <c r="L64" i="26"/>
  <c r="K64" i="26"/>
  <c r="I64" i="26"/>
  <c r="H64" i="26"/>
  <c r="F64" i="26"/>
  <c r="E64" i="26"/>
  <c r="C64" i="26"/>
  <c r="B64" i="26"/>
  <c r="Q63" i="26"/>
  <c r="P63" i="26"/>
  <c r="M63" i="26"/>
  <c r="J63" i="26"/>
  <c r="G63" i="26"/>
  <c r="D63" i="26"/>
  <c r="Q62" i="26"/>
  <c r="P62" i="26"/>
  <c r="M62" i="26"/>
  <c r="J62" i="26"/>
  <c r="G62" i="26"/>
  <c r="D62" i="26"/>
  <c r="Q61" i="26"/>
  <c r="P61" i="26"/>
  <c r="M61" i="26"/>
  <c r="J61" i="26"/>
  <c r="G61" i="26"/>
  <c r="D61" i="26"/>
  <c r="S60" i="26"/>
  <c r="O60" i="26"/>
  <c r="N60" i="26"/>
  <c r="L60" i="26"/>
  <c r="K60" i="26"/>
  <c r="I60" i="26"/>
  <c r="H60" i="26"/>
  <c r="F60" i="26"/>
  <c r="E60" i="26"/>
  <c r="C60" i="26"/>
  <c r="B60" i="26"/>
  <c r="Q59" i="26"/>
  <c r="P59" i="26"/>
  <c r="M59" i="26"/>
  <c r="J59" i="26"/>
  <c r="G59" i="26"/>
  <c r="D59" i="26"/>
  <c r="Q58" i="26"/>
  <c r="P58" i="26"/>
  <c r="M58" i="26"/>
  <c r="J58" i="26"/>
  <c r="G58" i="26"/>
  <c r="D58" i="26"/>
  <c r="Q57" i="26"/>
  <c r="P57" i="26"/>
  <c r="M57" i="26"/>
  <c r="J57" i="26"/>
  <c r="G57" i="26"/>
  <c r="D57" i="26"/>
  <c r="S55" i="26"/>
  <c r="O55" i="26"/>
  <c r="N55" i="26"/>
  <c r="L55" i="26"/>
  <c r="K55" i="26"/>
  <c r="I55" i="26"/>
  <c r="H55" i="26"/>
  <c r="F55" i="26"/>
  <c r="E55" i="26"/>
  <c r="C55" i="26"/>
  <c r="B55" i="26"/>
  <c r="Q54" i="26"/>
  <c r="P54" i="26"/>
  <c r="M54" i="26"/>
  <c r="J54" i="26"/>
  <c r="G54" i="26"/>
  <c r="D54" i="26"/>
  <c r="Q53" i="26"/>
  <c r="P53" i="26"/>
  <c r="M53" i="26"/>
  <c r="J53" i="26"/>
  <c r="G53" i="26"/>
  <c r="D53" i="26"/>
  <c r="Q52" i="26"/>
  <c r="P52" i="26"/>
  <c r="M52" i="26"/>
  <c r="J52" i="26"/>
  <c r="G52" i="26"/>
  <c r="D52" i="26"/>
  <c r="S51" i="26"/>
  <c r="O51" i="26"/>
  <c r="N51" i="26"/>
  <c r="L51" i="26"/>
  <c r="K51" i="26"/>
  <c r="I51" i="26"/>
  <c r="H51" i="26"/>
  <c r="F51" i="26"/>
  <c r="E51" i="26"/>
  <c r="C51" i="26"/>
  <c r="B51" i="26"/>
  <c r="Q50" i="26"/>
  <c r="P50" i="26"/>
  <c r="M50" i="26"/>
  <c r="J50" i="26"/>
  <c r="G50" i="26"/>
  <c r="D50" i="26"/>
  <c r="Q49" i="26"/>
  <c r="P49" i="26"/>
  <c r="M49" i="26"/>
  <c r="J49" i="26"/>
  <c r="G49" i="26"/>
  <c r="D49" i="26"/>
  <c r="Q48" i="26"/>
  <c r="P48" i="26"/>
  <c r="M48" i="26"/>
  <c r="J48" i="26"/>
  <c r="G48" i="26"/>
  <c r="D48" i="26"/>
  <c r="S47" i="26"/>
  <c r="O47" i="26"/>
  <c r="N47" i="26"/>
  <c r="L47" i="26"/>
  <c r="K47" i="26"/>
  <c r="I47" i="26"/>
  <c r="H47" i="26"/>
  <c r="F47" i="26"/>
  <c r="E47" i="26"/>
  <c r="C47" i="26"/>
  <c r="B47" i="26"/>
  <c r="Q46" i="26"/>
  <c r="P46" i="26"/>
  <c r="M46" i="26"/>
  <c r="J46" i="26"/>
  <c r="G46" i="26"/>
  <c r="D46" i="26"/>
  <c r="Q45" i="26"/>
  <c r="P45" i="26"/>
  <c r="M45" i="26"/>
  <c r="J45" i="26"/>
  <c r="G45" i="26"/>
  <c r="D45" i="26"/>
  <c r="Q44" i="26"/>
  <c r="P44" i="26"/>
  <c r="M44" i="26"/>
  <c r="J44" i="26"/>
  <c r="G44" i="26"/>
  <c r="D44" i="26"/>
  <c r="O43" i="26"/>
  <c r="N43" i="26"/>
  <c r="L43" i="26"/>
  <c r="K43" i="26"/>
  <c r="I43" i="26"/>
  <c r="H43" i="26"/>
  <c r="F43" i="26"/>
  <c r="E43" i="26"/>
  <c r="C43" i="26"/>
  <c r="B43" i="26"/>
  <c r="P42" i="26"/>
  <c r="M42" i="26"/>
  <c r="J42" i="26"/>
  <c r="G42" i="26"/>
  <c r="D42" i="26"/>
  <c r="P41" i="26"/>
  <c r="M41" i="26"/>
  <c r="J41" i="26"/>
  <c r="G41" i="26"/>
  <c r="D41" i="26"/>
  <c r="P40" i="26"/>
  <c r="M40" i="26"/>
  <c r="J40" i="26"/>
  <c r="G40" i="26"/>
  <c r="D40" i="26"/>
  <c r="O38" i="26"/>
  <c r="L38" i="26"/>
  <c r="K38" i="26"/>
  <c r="I38" i="26"/>
  <c r="H38" i="26"/>
  <c r="F38" i="26"/>
  <c r="E38" i="26"/>
  <c r="C38" i="26"/>
  <c r="B38" i="26"/>
  <c r="P37" i="26"/>
  <c r="M37" i="26"/>
  <c r="J37" i="26"/>
  <c r="G37" i="26"/>
  <c r="D37" i="26"/>
  <c r="P36" i="26"/>
  <c r="M36" i="26"/>
  <c r="J36" i="26"/>
  <c r="G36" i="26"/>
  <c r="D36" i="26"/>
  <c r="M35" i="26"/>
  <c r="J35" i="26"/>
  <c r="G35" i="26"/>
  <c r="D35" i="26"/>
  <c r="L34" i="26"/>
  <c r="K34" i="26"/>
  <c r="I34" i="26"/>
  <c r="H34" i="26"/>
  <c r="F34" i="26"/>
  <c r="E34" i="26"/>
  <c r="C34" i="26"/>
  <c r="B34" i="26"/>
  <c r="M33" i="26"/>
  <c r="J33" i="26"/>
  <c r="G33" i="26"/>
  <c r="D33" i="26"/>
  <c r="M32" i="26"/>
  <c r="J32" i="26"/>
  <c r="G32" i="26"/>
  <c r="D32" i="26"/>
  <c r="M31" i="26"/>
  <c r="J31" i="26"/>
  <c r="G31" i="26"/>
  <c r="D31" i="26"/>
  <c r="L30" i="26"/>
  <c r="K30" i="26"/>
  <c r="I30" i="26"/>
  <c r="H30" i="26"/>
  <c r="F30" i="26"/>
  <c r="E30" i="26"/>
  <c r="C30" i="26"/>
  <c r="B30" i="26"/>
  <c r="M29" i="26"/>
  <c r="M30" i="26" s="1"/>
  <c r="J29" i="26"/>
  <c r="G29" i="26"/>
  <c r="D29" i="26"/>
  <c r="J28" i="26"/>
  <c r="G28" i="26"/>
  <c r="D28" i="26"/>
  <c r="J27" i="26"/>
  <c r="G27" i="26"/>
  <c r="D27" i="26"/>
  <c r="I26" i="26"/>
  <c r="H26" i="26"/>
  <c r="F26" i="26"/>
  <c r="E26" i="26"/>
  <c r="C26" i="26"/>
  <c r="B26" i="26"/>
  <c r="J25" i="26"/>
  <c r="G25" i="26"/>
  <c r="D25" i="26"/>
  <c r="J24" i="26"/>
  <c r="G24" i="26"/>
  <c r="D24" i="26"/>
  <c r="J23" i="26"/>
  <c r="G23" i="26"/>
  <c r="D23" i="26"/>
  <c r="I22" i="26"/>
  <c r="H22" i="26"/>
  <c r="F22" i="26"/>
  <c r="E22" i="26"/>
  <c r="C22" i="26"/>
  <c r="B22" i="26"/>
  <c r="J21" i="26"/>
  <c r="G21" i="26"/>
  <c r="D21" i="26"/>
  <c r="J20" i="26"/>
  <c r="G20" i="26"/>
  <c r="D20" i="26"/>
  <c r="D19" i="26"/>
  <c r="D18" i="26"/>
  <c r="D17" i="26"/>
  <c r="D16" i="26"/>
  <c r="D15" i="26"/>
  <c r="D14" i="26"/>
  <c r="D13" i="26"/>
  <c r="W12" i="26"/>
  <c r="W13" i="26" s="1"/>
  <c r="W14" i="26" s="1"/>
  <c r="W15" i="26" s="1"/>
  <c r="W16" i="26" s="1"/>
  <c r="W17" i="26" s="1"/>
  <c r="W18" i="26" s="1"/>
  <c r="W19" i="26" s="1"/>
  <c r="W20" i="26" s="1"/>
  <c r="W21" i="26" s="1"/>
  <c r="D12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D11" i="26"/>
  <c r="D10" i="26"/>
  <c r="C9" i="26"/>
  <c r="B9" i="26"/>
  <c r="W8" i="26"/>
  <c r="D8" i="26"/>
  <c r="A8" i="26"/>
  <c r="D7" i="26"/>
  <c r="D6" i="26"/>
  <c r="D5" i="26"/>
  <c r="F26" i="18" l="1"/>
  <c r="R124" i="26"/>
  <c r="Y119" i="26"/>
  <c r="Y111" i="26"/>
  <c r="Y115" i="26"/>
  <c r="Y123" i="26"/>
  <c r="S107" i="26"/>
  <c r="X98" i="26"/>
  <c r="X111" i="26"/>
  <c r="X77" i="26"/>
  <c r="X89" i="26"/>
  <c r="L107" i="26"/>
  <c r="X106" i="26"/>
  <c r="G51" i="26"/>
  <c r="D55" i="26"/>
  <c r="P55" i="26"/>
  <c r="X60" i="26"/>
  <c r="I107" i="26"/>
  <c r="X102" i="26"/>
  <c r="X115" i="26"/>
  <c r="X119" i="26"/>
  <c r="E107" i="26"/>
  <c r="X26" i="26"/>
  <c r="X30" i="26"/>
  <c r="X34" i="26"/>
  <c r="X55" i="26"/>
  <c r="X72" i="26"/>
  <c r="K107" i="26"/>
  <c r="V102" i="26"/>
  <c r="F107" i="26"/>
  <c r="X94" i="26"/>
  <c r="M47" i="26"/>
  <c r="X51" i="26"/>
  <c r="M64" i="26"/>
  <c r="X68" i="26"/>
  <c r="V106" i="26"/>
  <c r="X38" i="26"/>
  <c r="X43" i="26"/>
  <c r="X47" i="26"/>
  <c r="X64" i="26"/>
  <c r="G68" i="26"/>
  <c r="X81" i="26"/>
  <c r="X85" i="26"/>
  <c r="N107" i="26"/>
  <c r="T107" i="26"/>
  <c r="J60" i="26"/>
  <c r="D64" i="26"/>
  <c r="P64" i="26"/>
  <c r="Q60" i="26"/>
  <c r="K90" i="26"/>
  <c r="U107" i="26"/>
  <c r="U4" i="26" s="1"/>
  <c r="D68" i="26"/>
  <c r="P68" i="26"/>
  <c r="J55" i="26"/>
  <c r="J64" i="26"/>
  <c r="M68" i="26"/>
  <c r="J26" i="26"/>
  <c r="G55" i="26"/>
  <c r="M60" i="26"/>
  <c r="G64" i="26"/>
  <c r="Q64" i="26"/>
  <c r="M51" i="26"/>
  <c r="P119" i="26"/>
  <c r="G47" i="26"/>
  <c r="M55" i="26"/>
  <c r="P60" i="26"/>
  <c r="D47" i="26"/>
  <c r="P47" i="26"/>
  <c r="J51" i="26"/>
  <c r="Q51" i="26"/>
  <c r="G26" i="26"/>
  <c r="J30" i="26"/>
  <c r="J47" i="26"/>
  <c r="Q47" i="26"/>
  <c r="D51" i="26"/>
  <c r="G30" i="26"/>
  <c r="D30" i="26"/>
  <c r="Z30" i="26" s="1"/>
  <c r="G77" i="26"/>
  <c r="G85" i="26"/>
  <c r="P115" i="26"/>
  <c r="K39" i="26"/>
  <c r="C73" i="26"/>
  <c r="M94" i="26"/>
  <c r="M98" i="26"/>
  <c r="M102" i="26"/>
  <c r="M106" i="26"/>
  <c r="L39" i="26"/>
  <c r="L90" i="26"/>
  <c r="Q55" i="26"/>
  <c r="J77" i="26"/>
  <c r="J38" i="26"/>
  <c r="G38" i="26"/>
  <c r="J43" i="26"/>
  <c r="F56" i="26"/>
  <c r="N90" i="26"/>
  <c r="N124" i="26"/>
  <c r="Q123" i="26"/>
  <c r="Z123" i="26" s="1"/>
  <c r="G22" i="26"/>
  <c r="D34" i="26"/>
  <c r="M34" i="26"/>
  <c r="D38" i="26"/>
  <c r="M43" i="26"/>
  <c r="J72" i="26"/>
  <c r="P72" i="26"/>
  <c r="G81" i="26"/>
  <c r="Q81" i="26"/>
  <c r="M81" i="26"/>
  <c r="M111" i="26"/>
  <c r="O124" i="26"/>
  <c r="S124" i="26"/>
  <c r="Q119" i="26"/>
  <c r="H107" i="26"/>
  <c r="C39" i="26"/>
  <c r="K56" i="26"/>
  <c r="E39" i="26"/>
  <c r="H39" i="26"/>
  <c r="D43" i="26"/>
  <c r="S56" i="26"/>
  <c r="D77" i="26"/>
  <c r="F90" i="26"/>
  <c r="I90" i="26"/>
  <c r="D85" i="26"/>
  <c r="P98" i="26"/>
  <c r="P106" i="26"/>
  <c r="O90" i="26"/>
  <c r="I56" i="26"/>
  <c r="E56" i="26"/>
  <c r="L73" i="26"/>
  <c r="M72" i="26"/>
  <c r="G72" i="26"/>
  <c r="P77" i="26"/>
  <c r="J85" i="26"/>
  <c r="M85" i="26"/>
  <c r="G89" i="26"/>
  <c r="P94" i="26"/>
  <c r="P102" i="26"/>
  <c r="P111" i="26"/>
  <c r="K124" i="26"/>
  <c r="D22" i="26"/>
  <c r="G43" i="26"/>
  <c r="P43" i="26"/>
  <c r="O56" i="26"/>
  <c r="P51" i="26"/>
  <c r="J68" i="26"/>
  <c r="Q68" i="26"/>
  <c r="Q77" i="26"/>
  <c r="D81" i="26"/>
  <c r="P81" i="26"/>
  <c r="E90" i="26"/>
  <c r="Q85" i="26"/>
  <c r="M89" i="26"/>
  <c r="Q111" i="26"/>
  <c r="Q115" i="26"/>
  <c r="D26" i="26"/>
  <c r="Z26" i="26" s="1"/>
  <c r="G60" i="26"/>
  <c r="I39" i="26"/>
  <c r="N73" i="26"/>
  <c r="S90" i="26"/>
  <c r="Q94" i="26"/>
  <c r="J98" i="26"/>
  <c r="Q98" i="26"/>
  <c r="J102" i="26"/>
  <c r="Q102" i="26"/>
  <c r="J106" i="26"/>
  <c r="Q106" i="26"/>
  <c r="M115" i="26"/>
  <c r="J22" i="26"/>
  <c r="X22" i="26"/>
  <c r="O39" i="26"/>
  <c r="P38" i="26"/>
  <c r="H56" i="26"/>
  <c r="C56" i="26"/>
  <c r="H90" i="26"/>
  <c r="F39" i="26"/>
  <c r="G34" i="26"/>
  <c r="B56" i="26"/>
  <c r="F73" i="26"/>
  <c r="K73" i="26"/>
  <c r="D72" i="26"/>
  <c r="B73" i="26"/>
  <c r="B90" i="26"/>
  <c r="G94" i="26"/>
  <c r="O107" i="26"/>
  <c r="D9" i="26"/>
  <c r="B39" i="26"/>
  <c r="J34" i="26"/>
  <c r="M38" i="26"/>
  <c r="L56" i="26"/>
  <c r="N56" i="26"/>
  <c r="S73" i="26"/>
  <c r="J89" i="26"/>
  <c r="Q89" i="26"/>
  <c r="D60" i="26"/>
  <c r="O73" i="26"/>
  <c r="H73" i="26"/>
  <c r="Q72" i="26"/>
  <c r="M77" i="26"/>
  <c r="J81" i="26"/>
  <c r="P85" i="26"/>
  <c r="P89" i="26"/>
  <c r="J94" i="26"/>
  <c r="E73" i="26"/>
  <c r="I73" i="26"/>
  <c r="C90" i="26"/>
  <c r="G98" i="26"/>
  <c r="G102" i="26"/>
  <c r="Y102" i="26" s="1"/>
  <c r="G106" i="26"/>
  <c r="R4" i="26"/>
  <c r="L124" i="26"/>
  <c r="Y30" i="26" l="1"/>
  <c r="Y55" i="26"/>
  <c r="J71" i="20"/>
  <c r="Y124" i="26"/>
  <c r="Y43" i="26"/>
  <c r="Y106" i="26"/>
  <c r="Y60" i="26"/>
  <c r="Y26" i="26"/>
  <c r="X108" i="26"/>
  <c r="Y47" i="26"/>
  <c r="Y125" i="26"/>
  <c r="X124" i="26"/>
  <c r="Y38" i="26"/>
  <c r="Z98" i="26"/>
  <c r="Y64" i="26"/>
  <c r="X74" i="26"/>
  <c r="X125" i="26"/>
  <c r="Y85" i="26"/>
  <c r="Z106" i="26"/>
  <c r="Z55" i="26"/>
  <c r="Z102" i="26"/>
  <c r="Y68" i="26"/>
  <c r="Z111" i="26"/>
  <c r="Z72" i="26"/>
  <c r="Z89" i="26"/>
  <c r="Z34" i="26"/>
  <c r="Z94" i="26"/>
  <c r="Z119" i="26"/>
  <c r="Z64" i="26"/>
  <c r="Y34" i="26"/>
  <c r="Y94" i="26"/>
  <c r="Z115" i="26"/>
  <c r="Y89" i="26"/>
  <c r="Y72" i="26"/>
  <c r="Y77" i="26"/>
  <c r="X91" i="26"/>
  <c r="X107" i="26"/>
  <c r="Y98" i="26"/>
  <c r="X90" i="26"/>
  <c r="P124" i="26"/>
  <c r="Y81" i="26"/>
  <c r="Y51" i="26"/>
  <c r="Y57" i="26" s="1"/>
  <c r="T4" i="26"/>
  <c r="V107" i="26"/>
  <c r="V4" i="26" s="1"/>
  <c r="Y22" i="26"/>
  <c r="Z22" i="26" s="1"/>
  <c r="Z81" i="26"/>
  <c r="Z77" i="26"/>
  <c r="Z51" i="26"/>
  <c r="Z47" i="26"/>
  <c r="Z85" i="26"/>
  <c r="X73" i="26"/>
  <c r="X56" i="26"/>
  <c r="I4" i="26"/>
  <c r="Z68" i="26"/>
  <c r="X57" i="26"/>
  <c r="D56" i="26"/>
  <c r="Z43" i="26"/>
  <c r="Z60" i="26"/>
  <c r="X39" i="26"/>
  <c r="Z38" i="26"/>
  <c r="Q56" i="26"/>
  <c r="S4" i="26"/>
  <c r="M73" i="26"/>
  <c r="J56" i="26"/>
  <c r="J107" i="26"/>
  <c r="P73" i="26"/>
  <c r="M56" i="26"/>
  <c r="J73" i="26"/>
  <c r="G56" i="26"/>
  <c r="Q73" i="26"/>
  <c r="M90" i="26"/>
  <c r="J39" i="26"/>
  <c r="G73" i="26"/>
  <c r="G90" i="26"/>
  <c r="E4" i="26"/>
  <c r="D90" i="26"/>
  <c r="C4" i="26"/>
  <c r="N4" i="26"/>
  <c r="M107" i="26"/>
  <c r="Q90" i="26"/>
  <c r="D39" i="26"/>
  <c r="H4" i="26"/>
  <c r="Q124" i="26"/>
  <c r="Q146" i="26" s="1"/>
  <c r="P56" i="26"/>
  <c r="K4" i="26"/>
  <c r="L4" i="26"/>
  <c r="P107" i="26"/>
  <c r="Q107" i="26"/>
  <c r="M124" i="26"/>
  <c r="F4" i="26"/>
  <c r="P90" i="26"/>
  <c r="M39" i="26"/>
  <c r="G39" i="26"/>
  <c r="D73" i="26"/>
  <c r="G107" i="26"/>
  <c r="B4" i="26"/>
  <c r="J90" i="26"/>
  <c r="P39" i="26"/>
  <c r="O4" i="26"/>
  <c r="J79" i="20" l="1"/>
  <c r="J75" i="20"/>
  <c r="J76" i="20" s="1"/>
  <c r="J28" i="19"/>
  <c r="Y39" i="26"/>
  <c r="Z124" i="26"/>
  <c r="Y73" i="26"/>
  <c r="Z107" i="26"/>
  <c r="Y90" i="26"/>
  <c r="Y107" i="26"/>
  <c r="Y56" i="26"/>
  <c r="Y108" i="26"/>
  <c r="Z125" i="26"/>
  <c r="Z56" i="26"/>
  <c r="Z73" i="26"/>
  <c r="Z39" i="26"/>
  <c r="Z90" i="26"/>
  <c r="Z57" i="26"/>
  <c r="Y74" i="26"/>
  <c r="Z91" i="26"/>
  <c r="Z108" i="26"/>
  <c r="Y91" i="26"/>
  <c r="P4" i="26"/>
  <c r="M4" i="26"/>
  <c r="J4" i="26"/>
  <c r="Z74" i="26"/>
  <c r="G4" i="26"/>
  <c r="D4" i="26"/>
  <c r="E31" i="19" l="1"/>
  <c r="E26" i="18" s="1"/>
  <c r="C17" i="18" l="1"/>
  <c r="C8" i="18" s="1"/>
  <c r="C34" i="18" s="1"/>
  <c r="C82" i="27" l="1"/>
  <c r="G23" i="18"/>
  <c r="F23" i="18" l="1"/>
  <c r="G21" i="18"/>
  <c r="E8" i="24"/>
  <c r="C7" i="24"/>
  <c r="K48" i="22" l="1"/>
  <c r="M57" i="10" l="1"/>
  <c r="C29" i="23"/>
  <c r="E29" i="23"/>
  <c r="G20" i="18" l="1"/>
  <c r="F78" i="14"/>
  <c r="G18" i="18" l="1"/>
  <c r="G34" i="18" s="1"/>
  <c r="F20" i="18"/>
  <c r="F101" i="20"/>
  <c r="G101" i="20"/>
  <c r="G65" i="18" l="1"/>
  <c r="E9" i="25"/>
  <c r="E8" i="25" s="1"/>
  <c r="H11" i="10"/>
  <c r="H12" i="10"/>
  <c r="E20" i="24"/>
  <c r="E23" i="24"/>
  <c r="E35" i="24"/>
  <c r="E9" i="23"/>
  <c r="E25" i="23"/>
  <c r="E26" i="23"/>
  <c r="E44" i="23"/>
  <c r="E54" i="23"/>
  <c r="E55" i="23"/>
  <c r="E56" i="23"/>
  <c r="E57" i="23"/>
  <c r="E58" i="23"/>
  <c r="E59" i="23"/>
  <c r="E60" i="23"/>
  <c r="E8" i="23"/>
  <c r="E37" i="18"/>
  <c r="E36" i="18" s="1"/>
  <c r="E52" i="18" s="1"/>
  <c r="E38" i="18"/>
  <c r="E39" i="18"/>
  <c r="E40" i="18"/>
  <c r="E43" i="18"/>
  <c r="E48" i="18"/>
  <c r="E50" i="18"/>
  <c r="E51" i="18"/>
  <c r="E59" i="18"/>
  <c r="E63" i="18"/>
  <c r="E21" i="19"/>
  <c r="E22" i="19"/>
  <c r="E23" i="19"/>
  <c r="E24" i="19"/>
  <c r="E26" i="19"/>
  <c r="E30" i="19"/>
  <c r="E32" i="19"/>
  <c r="E34" i="19"/>
  <c r="E35" i="19"/>
  <c r="E37" i="19"/>
  <c r="E41" i="19"/>
  <c r="E42" i="19"/>
  <c r="E11" i="19"/>
  <c r="E12" i="19"/>
  <c r="E13" i="19"/>
  <c r="E14" i="19"/>
  <c r="E15" i="19"/>
  <c r="E16" i="19"/>
  <c r="E24" i="20"/>
  <c r="E32" i="20"/>
  <c r="E49" i="20"/>
  <c r="E50" i="20"/>
  <c r="E60" i="20"/>
  <c r="E61" i="20"/>
  <c r="E62" i="20"/>
  <c r="E63" i="20"/>
  <c r="E62" i="18" s="1"/>
  <c r="E68" i="20"/>
  <c r="C37" i="27" s="1"/>
  <c r="G37" i="27" s="1"/>
  <c r="H37" i="27" s="1"/>
  <c r="E72" i="20"/>
  <c r="E73" i="20"/>
  <c r="E74" i="20"/>
  <c r="E77" i="20"/>
  <c r="E80" i="20"/>
  <c r="E58" i="18" l="1"/>
  <c r="E40" i="19"/>
  <c r="E7" i="25"/>
  <c r="E11" i="21"/>
  <c r="E9" i="21" s="1"/>
  <c r="E55" i="18" s="1"/>
  <c r="E54" i="18" s="1"/>
  <c r="E64" i="18" s="1"/>
  <c r="E19" i="19"/>
  <c r="E76" i="14" s="1"/>
  <c r="E48" i="20"/>
  <c r="E78" i="20" s="1"/>
  <c r="E19" i="20"/>
  <c r="E23" i="18"/>
  <c r="L11" i="10"/>
  <c r="E124" i="14"/>
  <c r="L12" i="10"/>
  <c r="C36" i="27"/>
  <c r="G36" i="27" s="1"/>
  <c r="H36" i="27" s="1"/>
  <c r="C77" i="27"/>
  <c r="G77" i="27" s="1"/>
  <c r="H77" i="27" s="1"/>
  <c r="E39" i="19"/>
  <c r="C46" i="27"/>
  <c r="G46" i="27" s="1"/>
  <c r="H46" i="27" s="1"/>
  <c r="C47" i="27"/>
  <c r="G47" i="27" s="1"/>
  <c r="H47" i="27" s="1"/>
  <c r="C79" i="27"/>
  <c r="E56" i="14" l="1"/>
  <c r="L24" i="10"/>
  <c r="E129" i="14"/>
  <c r="E128" i="14"/>
  <c r="L23" i="10"/>
  <c r="C34" i="27"/>
  <c r="G34" i="27" s="1"/>
  <c r="H34" i="27" s="1"/>
  <c r="E54" i="14"/>
  <c r="E85" i="14"/>
  <c r="E95" i="14"/>
  <c r="C54" i="27"/>
  <c r="G54" i="27" s="1"/>
  <c r="H54" i="27" s="1"/>
  <c r="C55" i="27"/>
  <c r="G55" i="27" s="1"/>
  <c r="H55" i="27" s="1"/>
  <c r="C83" i="27"/>
  <c r="C45" i="27"/>
  <c r="G45" i="27" s="1"/>
  <c r="H45" i="27" s="1"/>
  <c r="C78" i="27"/>
  <c r="F35" i="24"/>
  <c r="D7" i="24"/>
  <c r="G7" i="24"/>
  <c r="F7" i="24" s="1"/>
  <c r="H7" i="24"/>
  <c r="I7" i="24"/>
  <c r="J7" i="24"/>
  <c r="F8" i="23"/>
  <c r="F9" i="23"/>
  <c r="F54" i="23"/>
  <c r="F55" i="23"/>
  <c r="F56" i="23"/>
  <c r="F57" i="23"/>
  <c r="F58" i="23"/>
  <c r="F59" i="23"/>
  <c r="F60" i="23"/>
  <c r="D43" i="23"/>
  <c r="G43" i="23"/>
  <c r="H43" i="23"/>
  <c r="I43" i="23"/>
  <c r="J43" i="23"/>
  <c r="C43" i="23"/>
  <c r="F43" i="23" l="1"/>
  <c r="F95" i="14"/>
  <c r="C11" i="21"/>
  <c r="C9" i="21" s="1"/>
  <c r="E7" i="24"/>
  <c r="E43" i="23"/>
  <c r="C55" i="18" l="1"/>
  <c r="C54" i="18" s="1"/>
  <c r="C64" i="18" s="1"/>
  <c r="C65" i="18" s="1"/>
  <c r="C68" i="18" s="1"/>
  <c r="E66" i="18" s="1"/>
  <c r="D15" i="11" l="1"/>
  <c r="G42" i="18" l="1"/>
  <c r="D42" i="18"/>
  <c r="D84" i="14" s="1"/>
  <c r="H42" i="18"/>
  <c r="I42" i="18"/>
  <c r="J42" i="18"/>
  <c r="C42" i="18"/>
  <c r="E42" i="18" l="1"/>
  <c r="E84" i="14" s="1"/>
  <c r="O49" i="9"/>
  <c r="Q49" i="9"/>
  <c r="S49" i="9"/>
  <c r="M48" i="9"/>
  <c r="G49" i="9"/>
  <c r="I49" i="9"/>
  <c r="K49" i="9"/>
  <c r="E49" i="9"/>
  <c r="V8" i="9"/>
  <c r="N8" i="9"/>
  <c r="R8" i="9"/>
  <c r="J113" i="14"/>
  <c r="F118" i="14"/>
  <c r="F119" i="14"/>
  <c r="F120" i="14"/>
  <c r="F114" i="14"/>
  <c r="F115" i="14"/>
  <c r="F116" i="14"/>
  <c r="B55" i="27"/>
  <c r="E55" i="27" s="1"/>
  <c r="F55" i="27" s="1"/>
  <c r="F123" i="14"/>
  <c r="F122" i="14" s="1"/>
  <c r="E123" i="14"/>
  <c r="E122" i="14" s="1"/>
  <c r="D123" i="14"/>
  <c r="D122" i="14" s="1"/>
  <c r="C123" i="14"/>
  <c r="C122" i="14" s="1"/>
  <c r="C95" i="14"/>
  <c r="D61" i="14"/>
  <c r="D62" i="14"/>
  <c r="D63" i="14"/>
  <c r="D64" i="14"/>
  <c r="D69" i="14"/>
  <c r="D70" i="14"/>
  <c r="D71" i="14"/>
  <c r="E61" i="14"/>
  <c r="E62" i="14"/>
  <c r="E63" i="14"/>
  <c r="E64" i="14"/>
  <c r="E69" i="14"/>
  <c r="E70" i="14"/>
  <c r="E71" i="14"/>
  <c r="C51" i="14"/>
  <c r="C55" i="14"/>
  <c r="C62" i="14"/>
  <c r="C64" i="14"/>
  <c r="C61" i="14"/>
  <c r="C63" i="14"/>
  <c r="C65" i="14"/>
  <c r="B37" i="27"/>
  <c r="E37" i="27" s="1"/>
  <c r="F37" i="27" s="1"/>
  <c r="C68" i="14"/>
  <c r="C69" i="14"/>
  <c r="C70" i="14"/>
  <c r="C71" i="14"/>
  <c r="D20" i="11"/>
  <c r="C89" i="14"/>
  <c r="D16" i="11"/>
  <c r="C84" i="20"/>
  <c r="C86" i="20"/>
  <c r="C81" i="14"/>
  <c r="C86" i="14"/>
  <c r="C82" i="14"/>
  <c r="F67" i="18"/>
  <c r="F86" i="14" s="1"/>
  <c r="C78" i="14"/>
  <c r="D79" i="27"/>
  <c r="D78" i="27"/>
  <c r="D82" i="27"/>
  <c r="D80" i="27"/>
  <c r="D83" i="27"/>
  <c r="J53" i="14"/>
  <c r="D74" i="14"/>
  <c r="E74" i="14"/>
  <c r="J60" i="14"/>
  <c r="H86" i="20"/>
  <c r="I86" i="20"/>
  <c r="J86" i="20"/>
  <c r="G86" i="20"/>
  <c r="D86" i="20"/>
  <c r="E86" i="20" s="1"/>
  <c r="H84" i="20"/>
  <c r="I84" i="20"/>
  <c r="J84" i="20"/>
  <c r="J88" i="20" s="1"/>
  <c r="G84" i="20"/>
  <c r="D84" i="20"/>
  <c r="F62" i="14"/>
  <c r="F71" i="14"/>
  <c r="F51" i="14"/>
  <c r="F61" i="14"/>
  <c r="F63" i="14"/>
  <c r="F69" i="14"/>
  <c r="F70" i="14"/>
  <c r="B60" i="14"/>
  <c r="I88" i="20" l="1"/>
  <c r="F86" i="20"/>
  <c r="F84" i="20"/>
  <c r="G88" i="20"/>
  <c r="E84" i="20"/>
  <c r="D88" i="20"/>
  <c r="H88" i="20"/>
  <c r="F117" i="14"/>
  <c r="F113" i="14"/>
  <c r="F109" i="14" s="1"/>
  <c r="F105" i="14" s="1"/>
  <c r="F107" i="14" s="1"/>
  <c r="F53" i="14"/>
  <c r="F58" i="14" s="1"/>
  <c r="G82" i="27"/>
  <c r="H82" i="27" s="1"/>
  <c r="E82" i="27"/>
  <c r="F82" i="27" s="1"/>
  <c r="G78" i="27"/>
  <c r="H78" i="27" s="1"/>
  <c r="E78" i="27"/>
  <c r="F78" i="27" s="1"/>
  <c r="E80" i="27"/>
  <c r="F80" i="27" s="1"/>
  <c r="E83" i="27"/>
  <c r="F83" i="27" s="1"/>
  <c r="G83" i="27"/>
  <c r="H83" i="27" s="1"/>
  <c r="E79" i="27"/>
  <c r="F79" i="27" s="1"/>
  <c r="G79" i="27"/>
  <c r="H79" i="27" s="1"/>
  <c r="C82" i="20"/>
  <c r="C88" i="20" s="1"/>
  <c r="D85" i="14"/>
  <c r="F84" i="14"/>
  <c r="G63" i="14"/>
  <c r="G61" i="14"/>
  <c r="G62" i="14"/>
  <c r="G70" i="14"/>
  <c r="G69" i="14"/>
  <c r="G71" i="14"/>
  <c r="J58" i="14"/>
  <c r="J67" i="14" s="1"/>
  <c r="J72" i="14" s="1"/>
  <c r="J91" i="14" s="1"/>
  <c r="C76" i="14"/>
  <c r="B32" i="27"/>
  <c r="C56" i="14"/>
  <c r="D53" i="27"/>
  <c r="C66" i="14"/>
  <c r="C54" i="14"/>
  <c r="F64" i="14"/>
  <c r="C57" i="14"/>
  <c r="F74" i="14"/>
  <c r="C52" i="14"/>
  <c r="C53" i="14" s="1"/>
  <c r="N10" i="10"/>
  <c r="L10" i="10"/>
  <c r="D66" i="14"/>
  <c r="D65" i="14"/>
  <c r="E65" i="14"/>
  <c r="C110" i="14"/>
  <c r="C111" i="14" s="1"/>
  <c r="C94" i="14"/>
  <c r="M49" i="9"/>
  <c r="F65" i="14"/>
  <c r="D19" i="11"/>
  <c r="D18" i="11"/>
  <c r="B63" i="27"/>
  <c r="F88" i="20" l="1"/>
  <c r="C58" i="14"/>
  <c r="C67" i="14" s="1"/>
  <c r="C72" i="14" s="1"/>
  <c r="C85" i="14"/>
  <c r="H62" i="14"/>
  <c r="H69" i="14"/>
  <c r="G65" i="14"/>
  <c r="H70" i="14"/>
  <c r="H61" i="14"/>
  <c r="H63" i="14"/>
  <c r="G55" i="14"/>
  <c r="H71" i="14"/>
  <c r="C84" i="14"/>
  <c r="F66" i="14"/>
  <c r="F67" i="14" s="1"/>
  <c r="B64" i="27"/>
  <c r="E66" i="14"/>
  <c r="C83" i="14"/>
  <c r="C87" i="14" l="1"/>
  <c r="C102" i="14" s="1"/>
  <c r="E81" i="14"/>
  <c r="G57" i="14"/>
  <c r="G56" i="14"/>
  <c r="I61" i="14"/>
  <c r="D8" i="11"/>
  <c r="I69" i="14"/>
  <c r="H55" i="14"/>
  <c r="H65" i="14"/>
  <c r="I71" i="14"/>
  <c r="I63" i="14"/>
  <c r="I70" i="14"/>
  <c r="I62" i="14"/>
  <c r="F127" i="14"/>
  <c r="B65" i="27"/>
  <c r="I65" i="14" l="1"/>
  <c r="H56" i="14"/>
  <c r="I55" i="14"/>
  <c r="H57" i="14"/>
  <c r="C73" i="14"/>
  <c r="C59" i="14"/>
  <c r="C60" i="14" s="1"/>
  <c r="B66" i="27"/>
  <c r="I56" i="14" l="1"/>
  <c r="I57" i="14"/>
  <c r="D11" i="11"/>
  <c r="D12" i="11"/>
  <c r="C93" i="14"/>
  <c r="C92" i="14"/>
  <c r="C91" i="14"/>
  <c r="D10" i="11"/>
  <c r="D14" i="11"/>
  <c r="D9" i="11"/>
  <c r="C76" i="20"/>
  <c r="C10" i="19" s="1"/>
  <c r="C9" i="19" s="1"/>
  <c r="C17" i="19" s="1"/>
  <c r="B67" i="27" l="1"/>
  <c r="B54" i="27"/>
  <c r="E54" i="27" s="1"/>
  <c r="F54" i="27" s="1"/>
  <c r="E8" i="19" l="1"/>
  <c r="C33" i="19"/>
  <c r="C27" i="19" l="1"/>
  <c r="C43" i="19" s="1"/>
  <c r="C79" i="14" s="1"/>
  <c r="B84" i="27"/>
  <c r="B76" i="27" s="1"/>
  <c r="C77" i="14" l="1"/>
  <c r="D63" i="27" l="1"/>
  <c r="E63" i="27" l="1"/>
  <c r="F63" i="27" s="1"/>
  <c r="G53" i="14"/>
  <c r="G58" i="14" s="1"/>
  <c r="G67" i="14" s="1"/>
  <c r="D64" i="27"/>
  <c r="H71" i="20"/>
  <c r="H79" i="20" l="1"/>
  <c r="H75" i="20"/>
  <c r="H76" i="20" s="1"/>
  <c r="E64" i="27"/>
  <c r="F64" i="27" s="1"/>
  <c r="H28" i="19"/>
  <c r="H53" i="14"/>
  <c r="H58" i="14" s="1"/>
  <c r="H67" i="14" s="1"/>
  <c r="D65" i="27"/>
  <c r="F59" i="14"/>
  <c r="F60" i="14" s="1"/>
  <c r="G71" i="20"/>
  <c r="I71" i="20"/>
  <c r="I22" i="18" l="1"/>
  <c r="I21" i="18" s="1"/>
  <c r="I18" i="18" s="1"/>
  <c r="I34" i="18" s="1"/>
  <c r="I79" i="20"/>
  <c r="I75" i="20"/>
  <c r="I76" i="20" s="1"/>
  <c r="F71" i="20"/>
  <c r="G79" i="20"/>
  <c r="G75" i="20"/>
  <c r="G76" i="20" s="1"/>
  <c r="E65" i="27"/>
  <c r="F65" i="27" s="1"/>
  <c r="I28" i="19"/>
  <c r="I53" i="14"/>
  <c r="I58" i="14" s="1"/>
  <c r="I67" i="14" s="1"/>
  <c r="G28" i="19"/>
  <c r="F79" i="20" l="1"/>
  <c r="F75" i="20"/>
  <c r="H22" i="18"/>
  <c r="F28" i="19"/>
  <c r="D81" i="27" s="1"/>
  <c r="F68" i="14"/>
  <c r="F72" i="14" s="1"/>
  <c r="F73" i="14" s="1"/>
  <c r="D38" i="27"/>
  <c r="J22" i="18"/>
  <c r="J21" i="18" s="1"/>
  <c r="J18" i="18" s="1"/>
  <c r="J34" i="18" s="1"/>
  <c r="D66" i="27" l="1"/>
  <c r="E66" i="27" s="1"/>
  <c r="F66" i="27" s="1"/>
  <c r="F22" i="18"/>
  <c r="H21" i="18"/>
  <c r="F76" i="20"/>
  <c r="G10" i="19"/>
  <c r="E38" i="27"/>
  <c r="F38" i="27" s="1"/>
  <c r="E81" i="27"/>
  <c r="F81" i="27" s="1"/>
  <c r="F91" i="14"/>
  <c r="D32" i="27"/>
  <c r="F92" i="14"/>
  <c r="G60" i="14"/>
  <c r="G68" i="14"/>
  <c r="G72" i="14" s="1"/>
  <c r="G73" i="14" s="1"/>
  <c r="H10" i="19" l="1"/>
  <c r="H18" i="18"/>
  <c r="F21" i="18"/>
  <c r="G9" i="19"/>
  <c r="E32" i="27"/>
  <c r="F32" i="27" s="1"/>
  <c r="G91" i="14"/>
  <c r="H68" i="14"/>
  <c r="H72" i="14" s="1"/>
  <c r="H73" i="14" s="1"/>
  <c r="D67" i="27"/>
  <c r="H60" i="14"/>
  <c r="G33" i="19"/>
  <c r="I10" i="19" l="1"/>
  <c r="I33" i="19"/>
  <c r="H34" i="18"/>
  <c r="F18" i="18"/>
  <c r="G27" i="19"/>
  <c r="H9" i="19"/>
  <c r="H33" i="19"/>
  <c r="J10" i="19"/>
  <c r="H91" i="14"/>
  <c r="I68" i="14"/>
  <c r="I72" i="14" s="1"/>
  <c r="I73" i="14" s="1"/>
  <c r="H61" i="18"/>
  <c r="I60" i="14"/>
  <c r="I9" i="19" l="1"/>
  <c r="J9" i="19"/>
  <c r="J33" i="19"/>
  <c r="G43" i="19"/>
  <c r="F34" i="18"/>
  <c r="F83" i="14" s="1"/>
  <c r="H58" i="18"/>
  <c r="H27" i="19"/>
  <c r="I61" i="18"/>
  <c r="I58" i="18" s="1"/>
  <c r="I64" i="18" s="1"/>
  <c r="I65" i="18" s="1"/>
  <c r="I27" i="19"/>
  <c r="J61" i="18"/>
  <c r="J58" i="18" s="1"/>
  <c r="J64" i="18" s="1"/>
  <c r="J65" i="18" s="1"/>
  <c r="F10" i="19"/>
  <c r="I91" i="14"/>
  <c r="H43" i="19" l="1"/>
  <c r="I43" i="19"/>
  <c r="J27" i="19"/>
  <c r="F9" i="19"/>
  <c r="F33" i="19"/>
  <c r="F58" i="18"/>
  <c r="H64" i="18"/>
  <c r="F61" i="18"/>
  <c r="Z141" i="26"/>
  <c r="Q4" i="26"/>
  <c r="Z136" i="26"/>
  <c r="Z142" i="26" s="1"/>
  <c r="J43" i="19" l="1"/>
  <c r="F27" i="19"/>
  <c r="D84" i="27"/>
  <c r="D76" i="27" s="1"/>
  <c r="E76" i="27" s="1"/>
  <c r="F76" i="27" s="1"/>
  <c r="F64" i="18"/>
  <c r="F85" i="14" s="1"/>
  <c r="H65" i="18"/>
  <c r="F65" i="18" s="1"/>
  <c r="F77" i="14" l="1"/>
  <c r="E84" i="27"/>
  <c r="F84" i="27" s="1"/>
  <c r="F43" i="19"/>
  <c r="L28" i="9"/>
  <c r="D38" i="19"/>
  <c r="E38" i="19"/>
  <c r="D52" i="14"/>
  <c r="D53" i="14" s="1"/>
  <c r="D58" i="14" s="1"/>
  <c r="D67" i="14" s="1"/>
  <c r="D72" i="14" s="1"/>
  <c r="D73" i="14" s="1"/>
  <c r="E10" i="20"/>
  <c r="F79" i="14" l="1"/>
  <c r="G79" i="14"/>
  <c r="I79" i="14"/>
  <c r="H79" i="14"/>
  <c r="D30" i="18"/>
  <c r="D21" i="18" s="1"/>
  <c r="D18" i="18" s="1"/>
  <c r="D34" i="18" s="1"/>
  <c r="D65" i="18" s="1"/>
  <c r="D68" i="18" s="1"/>
  <c r="D36" i="19"/>
  <c r="D78" i="14" s="1"/>
  <c r="E36" i="19"/>
  <c r="E78" i="14" s="1"/>
  <c r="E30" i="18"/>
  <c r="E21" i="18" s="1"/>
  <c r="E9" i="20"/>
  <c r="E95" i="20"/>
  <c r="E20" i="18"/>
  <c r="D101" i="20"/>
  <c r="C80" i="27"/>
  <c r="G80" i="27" s="1"/>
  <c r="H80" i="27" s="1"/>
  <c r="E96" i="20" l="1"/>
  <c r="E52" i="14"/>
  <c r="E53" i="14" s="1"/>
  <c r="E58" i="14" s="1"/>
  <c r="E67" i="14" s="1"/>
  <c r="E18" i="18"/>
  <c r="E34" i="18" s="1"/>
  <c r="E65" i="18" s="1"/>
  <c r="E68" i="18" s="1"/>
  <c r="F66" i="18" s="1"/>
  <c r="E18" i="20"/>
  <c r="D130" i="14"/>
  <c r="D126" i="14"/>
  <c r="D127" i="14"/>
  <c r="L18" i="10"/>
  <c r="E126" i="14"/>
  <c r="C33" i="27"/>
  <c r="G33" i="27" s="1"/>
  <c r="H33" i="27" s="1"/>
  <c r="E101" i="20"/>
  <c r="D83" i="14"/>
  <c r="D92" i="14"/>
  <c r="D93" i="14"/>
  <c r="D91" i="14"/>
  <c r="D59" i="14"/>
  <c r="D10" i="19" l="1"/>
  <c r="D9" i="19" s="1"/>
  <c r="D17" i="19" s="1"/>
  <c r="E59" i="20"/>
  <c r="D87" i="14"/>
  <c r="D102" i="14" s="1"/>
  <c r="G66" i="18"/>
  <c r="G68" i="18" s="1"/>
  <c r="F68" i="18"/>
  <c r="E83" i="14"/>
  <c r="C63" i="27"/>
  <c r="G63" i="27" s="1"/>
  <c r="H63" i="27" s="1"/>
  <c r="L21" i="10"/>
  <c r="C52" i="27"/>
  <c r="G52" i="27" s="1"/>
  <c r="H52" i="27" s="1"/>
  <c r="L22" i="10"/>
  <c r="C53" i="27"/>
  <c r="G53" i="27" s="1"/>
  <c r="H53" i="27" s="1"/>
  <c r="E127" i="14"/>
  <c r="D60" i="14"/>
  <c r="F81" i="14"/>
  <c r="D33" i="19" l="1"/>
  <c r="D27" i="19" s="1"/>
  <c r="D43" i="19" s="1"/>
  <c r="D79" i="14" s="1"/>
  <c r="E82" i="20"/>
  <c r="C64" i="27"/>
  <c r="G64" i="27" s="1"/>
  <c r="H64" i="27" s="1"/>
  <c r="E70" i="20"/>
  <c r="E88" i="20"/>
  <c r="E87" i="14"/>
  <c r="E102" i="14" s="1"/>
  <c r="F87" i="14"/>
  <c r="F102" i="14" s="1"/>
  <c r="H66" i="18"/>
  <c r="H68" i="18" s="1"/>
  <c r="E130" i="14"/>
  <c r="L25" i="10"/>
  <c r="C56" i="27"/>
  <c r="G56" i="27" s="1"/>
  <c r="H56" i="27" s="1"/>
  <c r="C49" i="27"/>
  <c r="G49" i="27" s="1"/>
  <c r="H49" i="27" s="1"/>
  <c r="D77" i="14" l="1"/>
  <c r="C65" i="27"/>
  <c r="G65" i="27" s="1"/>
  <c r="H65" i="27" s="1"/>
  <c r="E71" i="20"/>
  <c r="E79" i="20"/>
  <c r="E59" i="14"/>
  <c r="E75" i="20"/>
  <c r="I66" i="18"/>
  <c r="I68" i="18" s="1"/>
  <c r="E68" i="14"/>
  <c r="E72" i="14" s="1"/>
  <c r="E73" i="14" s="1"/>
  <c r="E28" i="19"/>
  <c r="C38" i="27"/>
  <c r="G38" i="27" s="1"/>
  <c r="H38" i="27" s="1"/>
  <c r="E60" i="14" l="1"/>
  <c r="J66" i="18"/>
  <c r="J68" i="18" s="1"/>
  <c r="C81" i="27"/>
  <c r="G81" i="27" s="1"/>
  <c r="H81" i="27" s="1"/>
  <c r="E92" i="14"/>
  <c r="E91" i="14"/>
  <c r="C32" i="27"/>
  <c r="G32" i="27" s="1"/>
  <c r="H32" i="27" s="1"/>
  <c r="C66" i="27"/>
  <c r="G66" i="27" s="1"/>
  <c r="H66" i="27" s="1"/>
  <c r="E10" i="19" l="1"/>
  <c r="E9" i="19" s="1"/>
  <c r="E17" i="19" s="1"/>
  <c r="C67" i="27"/>
  <c r="E104" i="14" l="1"/>
  <c r="E110" i="14" s="1"/>
  <c r="E111" i="14" s="1"/>
  <c r="E94" i="14"/>
  <c r="E93" i="14"/>
  <c r="E33" i="19"/>
  <c r="F104" i="14" l="1"/>
  <c r="F110" i="14" s="1"/>
  <c r="F111" i="14" s="1"/>
  <c r="E27" i="19"/>
  <c r="E43" i="19" s="1"/>
  <c r="E79" i="14" s="1"/>
  <c r="C84" i="27"/>
  <c r="G84" i="27" s="1"/>
  <c r="H84" i="27" s="1"/>
  <c r="F8" i="19"/>
  <c r="F94" i="14" l="1"/>
  <c r="F93" i="14"/>
  <c r="G8" i="19"/>
  <c r="G17" i="19" s="1"/>
  <c r="F17" i="19"/>
  <c r="C76" i="27"/>
  <c r="G76" i="27" s="1"/>
  <c r="H76" i="27" s="1"/>
  <c r="E77" i="14"/>
  <c r="H8" i="19" l="1"/>
  <c r="H17" i="19" l="1"/>
  <c r="L14" i="10"/>
  <c r="L17" i="10"/>
  <c r="I8" i="19" l="1"/>
  <c r="I17" i="19" l="1"/>
  <c r="J8" i="19" l="1"/>
  <c r="J17" i="19" l="1"/>
  <c r="D22" i="10" l="1"/>
  <c r="N22" i="10" s="1"/>
  <c r="B52" i="27"/>
  <c r="E52" i="27" s="1"/>
  <c r="F52" i="27" s="1"/>
  <c r="C130" i="14"/>
  <c r="N18" i="10"/>
  <c r="C126" i="14"/>
  <c r="N21" i="10"/>
  <c r="B49" i="27" l="1"/>
  <c r="E49" i="27" s="1"/>
  <c r="F49" i="27" s="1"/>
  <c r="B53" i="27"/>
  <c r="E53" i="27" s="1"/>
  <c r="F53" i="27" s="1"/>
  <c r="B56" i="27"/>
  <c r="E56" i="27" s="1"/>
  <c r="F56" i="27" s="1"/>
  <c r="N25" i="10"/>
  <c r="C127" i="14"/>
</calcChain>
</file>

<file path=xl/sharedStrings.xml><?xml version="1.0" encoding="utf-8"?>
<sst xmlns="http://schemas.openxmlformats.org/spreadsheetml/2006/main" count="1603" uniqueCount="718">
  <si>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</si>
  <si>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</si>
  <si>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</si>
  <si>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</si>
  <si>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</si>
  <si>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</si>
  <si>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</si>
  <si>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</si>
  <si>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</si>
  <si>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</si>
  <si>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</si>
  <si>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</si>
  <si>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</si>
  <si>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</si>
  <si>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</si>
  <si>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</si>
  <si>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</si>
  <si>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</si>
  <si>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</si>
  <si>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</si>
  <si>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</si>
  <si>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</si>
  <si>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</si>
  <si>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</si>
  <si>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</si>
  <si>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</si>
  <si>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</si>
  <si>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</si>
  <si>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</si>
  <si>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</si>
  <si>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</si>
  <si>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</si>
  <si>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</si>
  <si>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</si>
  <si>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</si>
  <si>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</si>
  <si>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</si>
  <si>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</si>
  <si>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</si>
  <si>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</si>
  <si>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</si>
  <si>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</si>
  <si>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</si>
  <si>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</si>
  <si>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</si>
  <si>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</si>
  <si>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</si>
  <si>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</si>
  <si>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</si>
  <si>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</si>
  <si>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</si>
  <si>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</si>
  <si>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</si>
  <si>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</si>
  <si>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</si>
  <si>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</si>
  <si>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</si>
  <si>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</si>
  <si>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</si>
  <si>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</si>
  <si>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</si>
  <si>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</si>
  <si>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</si>
  <si>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</si>
  <si>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</si>
  <si>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</si>
  <si>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</si>
  <si>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</si>
  <si>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</si>
  <si>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</si>
  <si>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</si>
  <si>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</si>
  <si>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</si>
  <si>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</si>
  <si>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</si>
  <si>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</si>
  <si>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</si>
  <si>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</si>
  <si>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</si>
  <si>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</si>
  <si>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</si>
  <si>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</si>
  <si>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</si>
  <si>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</si>
  <si>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</si>
  <si>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</si>
  <si>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</si>
  <si>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</si>
  <si>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</si>
  <si>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</si>
  <si>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</si>
  <si>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</si>
  <si>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</si>
  <si>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</si>
  <si>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</si>
  <si>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</si>
  <si>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</si>
  <si>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</si>
  <si>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</si>
  <si>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</si>
  <si>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</si>
  <si>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</si>
  <si>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</si>
  <si>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</si>
  <si>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</si>
  <si>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</si>
  <si>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</si>
  <si>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</si>
  <si>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</si>
  <si>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</si>
  <si>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</si>
  <si>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</si>
  <si>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</si>
  <si>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</si>
  <si>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</si>
  <si>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</si>
  <si>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</si>
  <si>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</si>
  <si>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</si>
  <si>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</si>
  <si>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</si>
  <si>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</si>
  <si>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</si>
  <si>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</si>
  <si>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</si>
  <si>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</si>
  <si>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</si>
  <si>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</si>
  <si>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</si>
  <si>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</si>
  <si>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</si>
  <si>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</si>
  <si>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</si>
  <si>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</si>
  <si>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</si>
  <si>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</si>
  <si>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</si>
  <si>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</si>
  <si>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</si>
  <si>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</si>
  <si>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</si>
  <si>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</si>
  <si>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</si>
  <si>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</si>
  <si>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</si>
  <si>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</si>
  <si>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</si>
  <si>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</si>
  <si>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</si>
  <si>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</si>
  <si>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</si>
  <si>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</si>
  <si>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</si>
  <si>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</si>
  <si>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</si>
  <si>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</si>
  <si>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</si>
  <si>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</si>
  <si>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</si>
  <si>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</si>
  <si>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</si>
  <si>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</si>
  <si>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</si>
  <si>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</si>
  <si>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</si>
  <si>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</si>
  <si>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</si>
  <si>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</si>
  <si>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</si>
  <si>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</si>
  <si>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</si>
  <si>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</si>
  <si>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</si>
  <si>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</si>
  <si>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</si>
  <si>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</si>
  <si>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</si>
  <si>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</si>
  <si>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</si>
  <si>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</si>
  <si>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у тому числі 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</si>
  <si>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</si>
  <si>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</si>
  <si>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</si>
  <si>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</si>
  <si>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</si>
  <si>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</si>
  <si>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</si>
  <si>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</si>
  <si>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</si>
  <si>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</si>
  <si>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</si>
  <si>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</si>
  <si>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</si>
  <si>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</si>
  <si>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</si>
  <si>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</si>
  <si>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</si>
  <si>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</si>
  <si>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</si>
  <si>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</si>
  <si>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</si>
  <si>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</si>
  <si>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</si>
  <si>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</si>
  <si>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</si>
  <si>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</si>
  <si>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</si>
  <si>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</si>
  <si>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</si>
  <si>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</si>
  <si>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</si>
  <si>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</si>
  <si>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</si>
  <si>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</si>
  <si>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</si>
  <si>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</si>
  <si>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</si>
  <si>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</si>
  <si>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</si>
  <si>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</si>
  <si>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</si>
  <si>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</si>
  <si>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</si>
  <si>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</si>
  <si>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</si>
  <si>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</si>
  <si>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</si>
  <si>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</si>
  <si>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</si>
  <si>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</si>
  <si>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</si>
  <si>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</si>
  <si>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</si>
  <si>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</si>
  <si>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</si>
  <si>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</si>
  <si>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</si>
  <si>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</si>
  <si>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</si>
  <si>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</si>
  <si>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</si>
  <si>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</si>
  <si>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</si>
  <si>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</si>
  <si>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</si>
  <si>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</si>
  <si>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</si>
  <si>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</si>
  <si>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</si>
  <si>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</si>
  <si>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</si>
  <si>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</si>
  <si>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</si>
  <si>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</si>
  <si>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</si>
  <si>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</si>
  <si>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</si>
  <si>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</si>
  <si>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</si>
  <si>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</si>
  <si>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</si>
  <si>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</si>
  <si>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</si>
  <si>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</si>
  <si>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</si>
  <si>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</si>
  <si>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</si>
  <si>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</si>
  <si>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</si>
  <si>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</si>
  <si>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</si>
  <si>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</si>
  <si>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</si>
  <si>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</si>
  <si>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</si>
  <si>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</si>
  <si>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</si>
  <si>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</si>
  <si>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</si>
  <si>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</si>
  <si>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</si>
  <si>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</si>
  <si>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</si>
  <si>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</si>
  <si>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</si>
  <si>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</si>
  <si>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</si>
  <si>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</si>
  <si>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</si>
  <si>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</si>
  <si>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</si>
  <si>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</si>
  <si>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</si>
  <si>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</si>
  <si>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</si>
  <si>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</si>
  <si>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</si>
  <si>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</si>
  <si>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</si>
  <si>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</si>
  <si>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</si>
  <si>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</si>
  <si>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</si>
  <si>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</si>
  <si>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</si>
  <si>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</si>
  <si>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</si>
  <si>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</si>
  <si>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</si>
  <si>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</si>
  <si>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</si>
  <si>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</si>
  <si>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</si>
  <si>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</si>
  <si>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</si>
  <si>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</si>
  <si>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</si>
  <si>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</si>
  <si>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</si>
  <si>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</si>
  <si>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</si>
  <si>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</si>
  <si>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</si>
  <si>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 xml:space="preserve">у тому числі за кварталами </t>
  </si>
  <si>
    <t>(тис.грн.)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</si>
  <si>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</si>
  <si>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</si>
  <si>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</si>
  <si>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</si>
  <si>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</si>
  <si>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</si>
  <si>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</si>
  <si>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</si>
  <si>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</si>
  <si>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</si>
  <si>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</si>
  <si>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</si>
  <si>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</si>
  <si>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</si>
  <si>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</si>
  <si>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</si>
  <si>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</si>
  <si>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</si>
  <si>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</si>
  <si>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</si>
  <si>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</si>
  <si>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</si>
  <si>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</si>
  <si>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</si>
  <si>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</si>
  <si>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</si>
  <si>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</si>
  <si>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</si>
  <si>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 xml:space="preserve">(ініціали, прізвище)    </t>
  </si>
  <si>
    <t>(тис.грн)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</si>
  <si>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</si>
  <si>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</si>
  <si>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</si>
  <si>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у тому числі за основними видами діяльності  (розшифрувати)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</si>
  <si>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</si>
  <si>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</si>
  <si>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</si>
  <si>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</si>
  <si>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</si>
  <si>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</si>
  <si>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</si>
  <si>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</si>
  <si>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</si>
  <si>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</si>
  <si>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</si>
  <si>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</si>
  <si>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</si>
  <si>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</si>
  <si>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</si>
  <si>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</si>
  <si>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</si>
  <si>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</si>
  <si>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</si>
  <si>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</si>
  <si>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</si>
  <si>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</si>
  <si>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</si>
  <si>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</si>
  <si>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</si>
  <si>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Витрати на паливо (опалення)</t>
  </si>
  <si>
    <t>1048/1</t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</si>
  <si>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</si>
  <si>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</si>
  <si>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</si>
  <si>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</si>
  <si>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</si>
  <si>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</si>
  <si>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</si>
  <si>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</si>
  <si>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</si>
  <si>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</si>
  <si>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</si>
  <si>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Розшифровка до Таблиці І "Формування фінансових результатів"</t>
  </si>
  <si>
    <t>Розшифровка до Таблиці ІІІ "Рух грошових коштів (за прямим методом)"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</si>
  <si>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</si>
  <si>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</si>
  <si>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</si>
  <si>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 xml:space="preserve">Розшифровка до Таблиці IV. Капітальні інвестиції </t>
  </si>
  <si>
    <t>Розшифровка до Таблиці VІІ. Розподіл коштів, отриманих з  бюджету на поповнення Статутного капіталу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</si>
  <si>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</si>
  <si>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</si>
  <si>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Інші витрати на збут, усього, у тому числі:</t>
  </si>
  <si>
    <t>Цільове фінансуванн, усього, у тому числі:</t>
  </si>
  <si>
    <t>Інші надходження,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</si>
  <si>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</si>
  <si>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</si>
  <si>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</si>
  <si>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Інші витрати, у сього, у тому числі:</t>
  </si>
  <si>
    <t>до рішення виконавчого комітету міської ради</t>
  </si>
  <si>
    <t xml:space="preserve">від ____________________№________ </t>
  </si>
  <si>
    <t>Комунальне унітарне підприємство "ЕкоВін"</t>
  </si>
  <si>
    <t>комунальна</t>
  </si>
  <si>
    <t>Гриневич П.О.</t>
  </si>
  <si>
    <t>38.11</t>
  </si>
  <si>
    <t>Інші  витрати,  усього, у тому числі:</t>
  </si>
  <si>
    <t>інші податки, збори та платежі (екологічний податок)</t>
  </si>
  <si>
    <t>інші платежі (екологічний податок)</t>
  </si>
  <si>
    <t>Прес для вторсировини</t>
  </si>
  <si>
    <t>Утилізатор термічний</t>
  </si>
  <si>
    <t xml:space="preserve"> контейнера  (50 шт.)</t>
  </si>
  <si>
    <t>Продаж товару</t>
  </si>
  <si>
    <t>Благоустрій</t>
  </si>
  <si>
    <t>Інші види діяльності</t>
  </si>
  <si>
    <t>Комунальні послуги</t>
  </si>
  <si>
    <t>Передача майнових прав</t>
  </si>
  <si>
    <t>Робота сортувальної лінії</t>
  </si>
  <si>
    <t>Фінансова компанія "Муніципальні платіжні системи"</t>
  </si>
  <si>
    <t>сміттєвоз</t>
  </si>
  <si>
    <t>Контейнера для збору ТПВ</t>
  </si>
  <si>
    <t xml:space="preserve"> </t>
  </si>
  <si>
    <t>За рік</t>
  </si>
  <si>
    <t>Основний борг, грн.</t>
  </si>
  <si>
    <t>Сума відсотків, грн.</t>
  </si>
  <si>
    <t>Всього, грн.</t>
  </si>
  <si>
    <t>2017      9</t>
  </si>
  <si>
    <t>всього 2017</t>
  </si>
  <si>
    <t>2018      1</t>
  </si>
  <si>
    <t>всього 2018</t>
  </si>
  <si>
    <t>2019      1</t>
  </si>
  <si>
    <t>1 квартал</t>
  </si>
  <si>
    <t>2 квартал</t>
  </si>
  <si>
    <t>3 квартал</t>
  </si>
  <si>
    <t>4 квартал</t>
  </si>
  <si>
    <t>всього 2019</t>
  </si>
  <si>
    <t xml:space="preserve">2020      1   </t>
  </si>
  <si>
    <t>всього 2020</t>
  </si>
  <si>
    <t>2021      1</t>
  </si>
  <si>
    <t>всього 2021</t>
  </si>
  <si>
    <t>2022      1</t>
  </si>
  <si>
    <t>всього 2022</t>
  </si>
  <si>
    <t>2023     1</t>
  </si>
  <si>
    <t>всього 2023</t>
  </si>
  <si>
    <t>2024     1</t>
  </si>
  <si>
    <t>всього 2024</t>
  </si>
  <si>
    <t xml:space="preserve">       П.О.Гриневич</t>
  </si>
  <si>
    <t>інструменти</t>
  </si>
  <si>
    <t xml:space="preserve">     (посада)</t>
  </si>
  <si>
    <t>___________________</t>
  </si>
  <si>
    <t>РОЗРАХУНОК ПОВЕРНЕННЯ КРЕДИТНИХ КОШТІВ ТА ВІДСОТКІВ</t>
  </si>
  <si>
    <t>Департамент комунального господарства та благоустрою міської ради</t>
  </si>
  <si>
    <t>комунальне підприємство</t>
  </si>
  <si>
    <t>збирання безпечних відходів</t>
  </si>
  <si>
    <t>Директор департаменту фінансів міської ради</t>
  </si>
  <si>
    <t>комунальне господарство</t>
  </si>
  <si>
    <r>
      <t xml:space="preserve">бульдозер    </t>
    </r>
    <r>
      <rPr>
        <sz val="9"/>
        <color rgb="FFC00000"/>
        <rFont val="Arial Cyr"/>
        <charset val="204"/>
      </rPr>
      <t>2750000,00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>14.05.19 5%</t>
    </r>
  </si>
  <si>
    <r>
      <t xml:space="preserve">2 сміттєвоз </t>
    </r>
    <r>
      <rPr>
        <sz val="9"/>
        <color rgb="FFC00000"/>
        <rFont val="Arial Cyr"/>
        <charset val="204"/>
      </rPr>
      <t>5520000,00</t>
    </r>
    <r>
      <rPr>
        <sz val="9"/>
        <rFont val="Arial Cyr"/>
        <charset val="204"/>
      </rPr>
      <t xml:space="preserve"> 30.09.19 5%</t>
    </r>
  </si>
  <si>
    <r>
      <t xml:space="preserve">лізинг сміттєвоз </t>
    </r>
    <r>
      <rPr>
        <sz val="9"/>
        <color rgb="FFC00000"/>
        <rFont val="Arial Cyr"/>
        <charset val="204"/>
      </rPr>
      <t>2117069,00</t>
    </r>
    <r>
      <rPr>
        <sz val="9"/>
        <rFont val="Arial Cyr"/>
        <charset val="204"/>
      </rPr>
      <t xml:space="preserve"> 23.10.18 18,8%</t>
    </r>
  </si>
  <si>
    <r>
      <t xml:space="preserve">лізинг сміттєвоз </t>
    </r>
    <r>
      <rPr>
        <sz val="9"/>
        <color rgb="FFC00000"/>
        <rFont val="Arial Cyr"/>
        <charset val="204"/>
      </rPr>
      <t>2680832,00</t>
    </r>
    <r>
      <rPr>
        <sz val="9"/>
        <rFont val="Arial Cyr"/>
        <charset val="204"/>
      </rPr>
      <t xml:space="preserve"> 02.11.18     18.8%</t>
    </r>
  </si>
  <si>
    <r>
      <t xml:space="preserve">лізинг сміттєвоз </t>
    </r>
    <r>
      <rPr>
        <sz val="9"/>
        <color rgb="FFC00000"/>
        <rFont val="Arial Cyr"/>
        <charset val="204"/>
      </rPr>
      <t>1796244,00</t>
    </r>
    <r>
      <rPr>
        <sz val="9"/>
        <rFont val="Arial Cyr"/>
        <charset val="204"/>
      </rPr>
      <t xml:space="preserve"> 26.03.20 </t>
    </r>
    <r>
      <rPr>
        <sz val="9"/>
        <color rgb="FF00B0F0"/>
        <rFont val="Arial Cyr"/>
        <charset val="204"/>
      </rPr>
      <t>18,8%</t>
    </r>
  </si>
  <si>
    <t>будівництво ангару для солі</t>
  </si>
  <si>
    <t>програмне забезпечення</t>
  </si>
  <si>
    <t xml:space="preserve">Додаток </t>
  </si>
  <si>
    <r>
      <t xml:space="preserve">Інші фінансові доходи </t>
    </r>
    <r>
      <rPr>
        <sz val="16"/>
        <rFont val="Times New Roman"/>
        <family val="1"/>
        <charset val="204"/>
      </rPr>
      <t>(розшифрувати)</t>
    </r>
  </si>
  <si>
    <t>Директор КУП</t>
  </si>
  <si>
    <t>собівартість товару</t>
  </si>
  <si>
    <t>комунальні послуги</t>
  </si>
  <si>
    <t>електричні вимірювання</t>
  </si>
  <si>
    <t>аварійно-рятувальне обслуговування полігону</t>
  </si>
  <si>
    <t>дератизація</t>
  </si>
  <si>
    <t xml:space="preserve">охорона полігону </t>
  </si>
  <si>
    <t>утримання приміщення</t>
  </si>
  <si>
    <t>транспортні послуги</t>
  </si>
  <si>
    <t>списання простроченої кредиторської заборгованості</t>
  </si>
  <si>
    <t>реалізація інших оборотних активів</t>
  </si>
  <si>
    <t>штрафи, пені та донарахування податків</t>
  </si>
  <si>
    <t>собівартість реалізованих оборотних активів</t>
  </si>
  <si>
    <t>амортизація основних засобів прийнятих в господарське відання</t>
  </si>
  <si>
    <t>питна вода</t>
  </si>
  <si>
    <t>матеріальна допомога та її оподаткування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</si>
  <si>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</si>
  <si>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</si>
  <si>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</si>
  <si>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</si>
  <si>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обслуговування комп'ютерів</t>
  </si>
  <si>
    <t>нотаріальні послуги</t>
  </si>
  <si>
    <t>реєстраційні послуги</t>
  </si>
  <si>
    <t>асфальтування</t>
  </si>
  <si>
    <t>монтаж акумулятора сигналізації</t>
  </si>
  <si>
    <t>капітальне будівництво (розшифрувати)</t>
  </si>
  <si>
    <t>повернення авансів</t>
  </si>
  <si>
    <t>ІІ. Рух коштів у результаті інвестиційної діяльності</t>
  </si>
  <si>
    <t>придбання (виготовлення) інших необоротних матеріальних активів, усього, у тому числі:</t>
  </si>
  <si>
    <t>комп'ютерна програма</t>
  </si>
  <si>
    <t xml:space="preserve">  (підпис)</t>
  </si>
  <si>
    <t xml:space="preserve"> Директор КУП</t>
  </si>
  <si>
    <t>Захоронення побутових відходів</t>
  </si>
  <si>
    <t>Придбання (виготовлення) основних засобів, у тому числі:</t>
  </si>
  <si>
    <t>Придбання (виготовлення) інших необоротних матеріальних активів, у тому числі:</t>
  </si>
  <si>
    <t xml:space="preserve">Директор КУП </t>
  </si>
  <si>
    <t xml:space="preserve">навантажувач фронтальний </t>
  </si>
  <si>
    <r>
      <t xml:space="preserve">Суб'єкт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</si>
  <si>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навчання персоналу</t>
  </si>
  <si>
    <t>оренда основних засобів</t>
  </si>
  <si>
    <t>прибирання міста підрядними підприємствами</t>
  </si>
  <si>
    <t>послуги GPS навігації</t>
  </si>
  <si>
    <t>послуги банків</t>
  </si>
  <si>
    <t>канцелярські товари та матеріали</t>
  </si>
  <si>
    <t>відсотки банку за залишками коштів на поточних рахунках</t>
  </si>
  <si>
    <t xml:space="preserve"> (підпис)</t>
  </si>
  <si>
    <t>страхові послуги</t>
  </si>
  <si>
    <t>діагностика техніки</t>
  </si>
  <si>
    <t>Вивезення твердих побутових відходів</t>
  </si>
  <si>
    <t>Технічний нагляд</t>
  </si>
  <si>
    <t xml:space="preserve">Нараховані до сплати податки та збори до Державного бюджету України (податкові платежі) </t>
  </si>
  <si>
    <t>охорона адміністративного будинку</t>
  </si>
  <si>
    <t>коригування податку на додану вартість (ПДВ)</t>
  </si>
  <si>
    <t>МКП "Вінницький фонд муніципальних інвестицій"</t>
  </si>
  <si>
    <r>
      <t xml:space="preserve">бульдозер </t>
    </r>
    <r>
      <rPr>
        <sz val="9"/>
        <color rgb="FFC00000"/>
        <rFont val="Arial Cyr"/>
        <charset val="204"/>
      </rPr>
      <t>2791540,00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 xml:space="preserve">16.08.17 </t>
    </r>
    <r>
      <rPr>
        <sz val="9"/>
        <color rgb="FFFF0000"/>
        <rFont val="Arial Cyr"/>
        <charset val="204"/>
      </rPr>
      <t>5%</t>
    </r>
  </si>
  <si>
    <t>Одиниця виміру</t>
  </si>
  <si>
    <t>гаража</t>
  </si>
  <si>
    <t>прибирання контейнерних майданчиків</t>
  </si>
  <si>
    <t>списання зносу після вибуття основного засобу</t>
  </si>
  <si>
    <t>страхове відшкодування</t>
  </si>
  <si>
    <t>стягнення судового збору на користь підприємства</t>
  </si>
  <si>
    <t>списання основних засобів</t>
  </si>
  <si>
    <t>Вивезення великогабаритних побутових відходів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</si>
  <si>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</si>
  <si>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21100 м.Вінниця  вул.Сабарівська, 7</t>
  </si>
  <si>
    <t>відшкодування середнього заробітку мобілізованого</t>
  </si>
  <si>
    <t>контейнера</t>
  </si>
  <si>
    <t>Петро ГРИНЕВИЧ</t>
  </si>
  <si>
    <t>Цільове фінансування  (розшифрувати)</t>
  </si>
  <si>
    <t xml:space="preserve">Короткострокові зобов'язання, усього, у тому числі: </t>
  </si>
  <si>
    <t>Інші фінансові зобов'язання, усього, у тому числі:</t>
  </si>
  <si>
    <t>Довгострокові зобов'язання, усього, у тому числі:</t>
  </si>
  <si>
    <t>екологічний податок</t>
  </si>
  <si>
    <t>пільгова пенсія за шкідливі умови праці</t>
  </si>
  <si>
    <t xml:space="preserve">порука директора </t>
  </si>
  <si>
    <t>29.12.22/28.02.23</t>
  </si>
  <si>
    <t>відновлювальна кредитна лінія для вирішення фінансово-господарських питань</t>
  </si>
  <si>
    <t>сміттєвози (4 шт.)</t>
  </si>
  <si>
    <t>Вінницька</t>
  </si>
  <si>
    <t>Директор департаменту економіки і інвестицій міської ради</t>
  </si>
  <si>
    <t>Максим МАРТЬЯНОВ</t>
  </si>
  <si>
    <t>сміттєвози  (4 шт.)</t>
  </si>
  <si>
    <r>
      <t xml:space="preserve">сміттєвоз </t>
    </r>
    <r>
      <rPr>
        <sz val="9"/>
        <color rgb="FFFF0000"/>
        <rFont val="Arial Cyr"/>
        <charset val="204"/>
      </rPr>
      <t>5292000</t>
    </r>
    <r>
      <rPr>
        <sz val="9"/>
        <rFont val="Arial Cyr"/>
        <charset val="204"/>
      </rPr>
      <t xml:space="preserve"> 31.07.23  12,5%</t>
    </r>
  </si>
  <si>
    <t>2025     1</t>
  </si>
  <si>
    <t>2026     1</t>
  </si>
  <si>
    <t>всього 2025</t>
  </si>
  <si>
    <t>всього 2026</t>
  </si>
  <si>
    <t>2027     1</t>
  </si>
  <si>
    <t>всього 2027</t>
  </si>
  <si>
    <t>2028     1</t>
  </si>
  <si>
    <t>всього 2028</t>
  </si>
  <si>
    <t>позика на придбання  сміттєвоза</t>
  </si>
  <si>
    <t>31.07.23/30.07.28</t>
  </si>
  <si>
    <t>безоплатно отримані сміттєвози</t>
  </si>
  <si>
    <t>інші доходи (розшифрувати)</t>
  </si>
  <si>
    <t>Модернізація, модифікація (добудова, дообладнання, реконструкція) основних засобів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</si>
  <si>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</si>
  <si>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</si>
  <si>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Рік початку і закінчення будівництва</t>
  </si>
  <si>
    <t>трактори</t>
  </si>
  <si>
    <t>комп'ютерна техніка</t>
  </si>
  <si>
    <t>Сергій ТИМОЩУК</t>
  </si>
  <si>
    <t>Директор департаменту комунального господарства та благоустрою міської ради</t>
  </si>
  <si>
    <t>Юрій СЕМЕНЮК</t>
  </si>
  <si>
    <t>Антоніна ЛЕСЬ</t>
  </si>
  <si>
    <t xml:space="preserve">  </t>
  </si>
  <si>
    <t>2027 рік</t>
  </si>
  <si>
    <t>утилізація небезпечних відходів</t>
  </si>
  <si>
    <t>заробітна плата мобілізованих</t>
  </si>
  <si>
    <t>єдиний соціальний внесок із заробітної плати мобілізованих</t>
  </si>
  <si>
    <t>безоплатна отримана лінія електропередач</t>
  </si>
  <si>
    <t>аліменти</t>
  </si>
  <si>
    <t>миття автомобілів</t>
  </si>
  <si>
    <t>амортизація основних засобів безоплатно отриманих</t>
  </si>
  <si>
    <t>Інші джерела (розшифрувати)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</si>
  <si>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</si>
  <si>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</si>
  <si>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</si>
  <si>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</si>
  <si>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</si>
  <si>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Всього реалізація</t>
  </si>
  <si>
    <t>Страхове відшкодування, стягнення судового збору</t>
  </si>
  <si>
    <t>Реалізація інших оборотних активів</t>
  </si>
  <si>
    <t>Нараховані банком відсотки за залишками коштів  на поточних  рахунках</t>
  </si>
  <si>
    <t>Амортизація основних засобів, прийнятих в господарське відання</t>
  </si>
  <si>
    <t>Амортизація основних засобів,  безоплатно отриманих</t>
  </si>
  <si>
    <t>Безоплатно отримані сміттєвози</t>
  </si>
  <si>
    <t xml:space="preserve">                                                                                                                                                 Таблиця 2</t>
  </si>
  <si>
    <t>Усього витрат, у тому числі:</t>
  </si>
  <si>
    <t xml:space="preserve">                                                                                                                                                 Таблиця 3</t>
  </si>
  <si>
    <t>Середня кількість працівників, у тому числі: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</si>
  <si>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</si>
  <si>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Динаміка фінансових показників</t>
  </si>
  <si>
    <t>Валовий прибуток</t>
  </si>
  <si>
    <t>прибуток</t>
  </si>
  <si>
    <t xml:space="preserve">                                                                                                                                                   Таблиця 5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</si>
  <si>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</si>
  <si>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</si>
  <si>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</si>
  <si>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</si>
  <si>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</si>
  <si>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</si>
  <si>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</si>
  <si>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</si>
  <si>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</si>
  <si>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</si>
  <si>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 xml:space="preserve">Відрахування частини чистого прибутку </t>
  </si>
  <si>
    <t>Структура та динаміка чисельності, середньомісячної заробітної плати одного працівника та витрат на оплату праці</t>
  </si>
  <si>
    <t>Аналіз дохідної частини фінансового плану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</si>
  <si>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фінансового плану</t>
    </r>
  </si>
  <si>
    <t>фінансовий лізинг на придбання  2 шт. вантажних автомобілів</t>
  </si>
  <si>
    <t>вантажні автомобілі (2 шт.)</t>
  </si>
  <si>
    <t>бульдозер (1 шт.)</t>
  </si>
  <si>
    <t>відрядження</t>
  </si>
  <si>
    <t>оперативно-технічне обслуговування електроустановки</t>
  </si>
  <si>
    <t>ліцензія на зберігання пального</t>
  </si>
  <si>
    <t>повернення коштів на Казначейський рахунок</t>
  </si>
  <si>
    <t>штрафна санкція</t>
  </si>
  <si>
    <t>автомобілі</t>
  </si>
  <si>
    <t>підписка технічного видання</t>
  </si>
  <si>
    <t>фінансовий лізинг на придбання 2 шт. вантажних автомобілів</t>
  </si>
  <si>
    <t>13.03.24/13.03.27</t>
  </si>
  <si>
    <t>2028 рік</t>
  </si>
  <si>
    <t>Незавершене будівництво на початок планового року
(зазначити рік)</t>
  </si>
  <si>
    <t>Первісна балансова вартість введених потужностей на початок планового року
(зазначити рік)</t>
  </si>
  <si>
    <t>2 шт. вантажні автомобілі</t>
  </si>
  <si>
    <t>сміттєвоз з портальним завантаженням СБМ-401/3 на шасі JAC N120</t>
  </si>
  <si>
    <t>морський контейнер загального призначення, універсальний 20 футовий (4 шт)</t>
  </si>
  <si>
    <t>Придбання (виготовлення) основних засобів:</t>
  </si>
  <si>
    <t>дорога</t>
  </si>
  <si>
    <t>автомобіль вакуумний СБМ</t>
  </si>
  <si>
    <t xml:space="preserve">Факт
 минулого  2024 року </t>
  </si>
  <si>
    <t xml:space="preserve">Фінансовий план 
поточного 2025 року </t>
  </si>
  <si>
    <t xml:space="preserve">Очікуваний показник до кінця поточного 2025 року </t>
  </si>
  <si>
    <t xml:space="preserve">Плановий  
2026 рік </t>
  </si>
  <si>
    <t>2029 рік</t>
  </si>
  <si>
    <t xml:space="preserve"> ФІНАНСОВИЙ ПЛАН  КУП "ЕкоВін"
на 2026 рік</t>
  </si>
  <si>
    <t xml:space="preserve">Факт минулого
2024 року </t>
  </si>
  <si>
    <t xml:space="preserve">Фінансовий план
поточного
 2025 року </t>
  </si>
  <si>
    <t xml:space="preserve">Очікуваний показник  
до кінця поточного 
2025 року </t>
  </si>
  <si>
    <t xml:space="preserve">Плановий
2026 рік </t>
  </si>
  <si>
    <t>Плановий 2026 рік до очікуваного на поточний 2025 рік, %</t>
  </si>
  <si>
    <t>Плановий 2026 рік до факту минулого 2024 року, %</t>
  </si>
  <si>
    <t>Плановий 2026 рік до факту минулого 
2024 року, %</t>
  </si>
  <si>
    <t xml:space="preserve">факт
минулого 2024 року </t>
  </si>
  <si>
    <t xml:space="preserve">фінансовий план
поточного 2025 року </t>
  </si>
  <si>
    <t xml:space="preserve">плановий 2026 рік </t>
  </si>
  <si>
    <t>плановий 2026 рік</t>
  </si>
  <si>
    <t xml:space="preserve">Плановий 2026 рік </t>
  </si>
  <si>
    <t xml:space="preserve">Факт
 минулого
2024 року </t>
  </si>
  <si>
    <t xml:space="preserve">Фінансовий план 
поточного
2025 року </t>
  </si>
  <si>
    <t xml:space="preserve">Очікуваний показник до кінця поточного
2025 року </t>
  </si>
  <si>
    <t>Факт минулого 2024 р.</t>
  </si>
  <si>
    <t>Очікуваний показник   2025 р.</t>
  </si>
  <si>
    <t>Плановий   2026 р.</t>
  </si>
  <si>
    <t>Фактичний показник за минулий 2024 рік</t>
  </si>
  <si>
    <t>Плановий показник 
поточного 2025 року</t>
  </si>
  <si>
    <t>Фактичний показник за 9 місяців 2025 року</t>
  </si>
  <si>
    <t>Плановий 2026 рік</t>
  </si>
  <si>
    <t>послуги банків та білінгові платежі</t>
  </si>
  <si>
    <t>замір забруднюючих речовин</t>
  </si>
  <si>
    <t>інтернет</t>
  </si>
  <si>
    <t>повірка електролічильника</t>
  </si>
  <si>
    <t>різниця ціни при поверненні товару постачальнику</t>
  </si>
  <si>
    <t>відшкодування збитків за ДТП</t>
  </si>
  <si>
    <t>технічне обслуговування кулера</t>
  </si>
  <si>
    <t>ворота розпашні</t>
  </si>
  <si>
    <t>трансформатор</t>
  </si>
  <si>
    <t>апарат високого тиску</t>
  </si>
  <si>
    <t>компресор</t>
  </si>
  <si>
    <t>бульдозер</t>
  </si>
  <si>
    <t>АЗС</t>
  </si>
  <si>
    <t>сміттєвоз з портальним завантаженням СБМ-401/3 на шасі JAC N120 з реєстрацією транспортного засобу</t>
  </si>
  <si>
    <t>контейнери для відходів, 20-ти  футові (4 шт.)</t>
  </si>
  <si>
    <t xml:space="preserve">контейнери </t>
  </si>
  <si>
    <t>Заборгованість на 31.12.2025 р.</t>
  </si>
  <si>
    <t>Заборгованість за кредитами на початок 2026 року</t>
  </si>
  <si>
    <t>Заборгованість за кредитами на кінець 2026 року</t>
  </si>
  <si>
    <t>до фінансового плану на 2026 рік</t>
  </si>
  <si>
    <t>Плановий 2026 рік до  плану поточного 
2025 року, %</t>
  </si>
  <si>
    <t>Керуючий справами виконкому</t>
  </si>
  <si>
    <t xml:space="preserve">Технічний нагляд за поточним ремонтом об'єктів благоустрою </t>
  </si>
  <si>
    <t>контейнери для відходів, 20-ти футові (4 шт.)</t>
  </si>
  <si>
    <t>автомобіль вакуумний КО-503В-28 на шасі  JAC N200 з реєстрацією транспортного засобу</t>
  </si>
  <si>
    <t>під'їзна дорога на полігоні</t>
  </si>
  <si>
    <t>придбання (виготовлення) основних засобів, усього, у тому числі:</t>
  </si>
  <si>
    <t>контейнери</t>
  </si>
  <si>
    <t>319 - 4кв.уточнений ФП на 2025 рік</t>
  </si>
  <si>
    <t>1 410 - 4кв.уточнений ФП на 2025 рік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</si>
  <si>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</si>
  <si>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145 - 4кв.уточнений ФП на 2025 рік</t>
  </si>
  <si>
    <t>надходження з пенсійного фонду</t>
  </si>
  <si>
    <t>Коригування ПДВ</t>
  </si>
  <si>
    <t xml:space="preserve"> 2026 р. до факту 2024 р.</t>
  </si>
  <si>
    <t>2026 р. до очікуваного 2025 р.</t>
  </si>
  <si>
    <t xml:space="preserve">за минулий 2024 рік </t>
  </si>
  <si>
    <t xml:space="preserve">за плановий 2026 рік </t>
  </si>
  <si>
    <t xml:space="preserve">Були знаки після коми </t>
  </si>
  <si>
    <t>Якщо тарифи не змінюються, то виручка може залишатися такою ж самою, але ж витрати на оплату праці та вартість матеріалів повинні зростати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</si>
</sst>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₽_-;\-* #,##0.00\ _₽_-;_-* &quot;-&quot;??\ _₽_-;_-@_-"/>
    <numFmt numFmtId="168" formatCode="_-* #,##0.00_₴_-;\-* #,##0.00_₴_-;_-* &quot;-&quot;??_₴_-;_-@_-"/>
    <numFmt numFmtId="169" formatCode="_-* #,##0.00\ _г_р_н_._-;\-* #,##0.00\ _г_р_н_._-;_-* &quot;-&quot;??\ _г_р_н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_(* #,##0.0_);_(* \(#,##0.0\);_(* &quot;-&quot;_);_(@_)"/>
    <numFmt numFmtId="181" formatCode="_-* #,##0\ _₽_-;\-* #,##0\ _₽_-;_-* &quot;-&quot;??\ _₽_-;_-@_-"/>
    <numFmt numFmtId="182" formatCode="#,##0;[Red]#,##0"/>
    <numFmt numFmtId="183" formatCode="#,##0_ ;\-#,##0\ "/>
  </numFmts>
  <fonts count="11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u/>
      <sz val="12"/>
      <name val="Times New Roman"/>
      <family val="1"/>
      <charset val="204"/>
    </font>
    <font>
      <sz val="8"/>
      <color theme="3" tint="0.39997558519241921"/>
      <name val="Arial Cyr"/>
      <charset val="204"/>
    </font>
    <font>
      <sz val="8"/>
      <color rgb="FF00B050"/>
      <name val="Arial Cyr"/>
      <charset val="204"/>
    </font>
    <font>
      <sz val="8"/>
      <name val="Calibri"/>
      <family val="2"/>
      <scheme val="minor"/>
    </font>
    <font>
      <sz val="8"/>
      <color rgb="FFFF0000"/>
      <name val="Arial Cyr"/>
      <charset val="204"/>
    </font>
    <font>
      <b/>
      <sz val="8"/>
      <color rgb="FF00B050"/>
      <name val="Arial Cyr"/>
      <charset val="204"/>
    </font>
    <font>
      <b/>
      <sz val="8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theme="1"/>
      <name val="Arial Cyr"/>
      <charset val="204"/>
    </font>
    <font>
      <sz val="9"/>
      <name val="Arial Cyr"/>
      <charset val="204"/>
    </font>
    <font>
      <sz val="9"/>
      <color rgb="FFC00000"/>
      <name val="Arial Cyr"/>
      <charset val="204"/>
    </font>
    <font>
      <sz val="9"/>
      <color rgb="FFFF0000"/>
      <name val="Arial Cyr"/>
      <charset val="204"/>
    </font>
    <font>
      <sz val="9"/>
      <color rgb="FF00B0F0"/>
      <name val="Arial Cyr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6"/>
      <name val="Arial Cyr"/>
      <charset val="204"/>
    </font>
    <font>
      <sz val="16"/>
      <color theme="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8"/>
      <color rgb="FFFF0000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9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2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3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7" fontId="65" fillId="22" borderId="12" applyFill="0" applyBorder="0">
      <alignment horizontal="center" vertical="center" wrapText="1"/>
      <protection locked="0"/>
    </xf>
    <xf numFmtId="172" fontId="66" fillId="0" borderId="0">
      <alignment wrapText="1"/>
    </xf>
    <xf numFmtId="172" fontId="33" fillId="0" borderId="0">
      <alignment wrapText="1"/>
    </xf>
    <xf numFmtId="167" fontId="2" fillId="0" borderId="0" applyFont="0" applyFill="0" applyBorder="0" applyAlignment="0" applyProtection="0"/>
  </cellStyleXfs>
  <cellXfs count="750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171" fontId="5" fillId="0" borderId="0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0" fontId="74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1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9" fontId="0" fillId="0" borderId="28" xfId="0" applyNumberFormat="1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80" fillId="29" borderId="13" xfId="0" applyFont="1" applyFill="1" applyBorder="1" applyAlignment="1"/>
    <xf numFmtId="0" fontId="80" fillId="29" borderId="0" xfId="0" applyFont="1" applyFill="1" applyBorder="1" applyAlignment="1"/>
    <xf numFmtId="0" fontId="3" fillId="0" borderId="40" xfId="0" applyFont="1" applyBorder="1" applyAlignment="1">
      <alignment horizontal="center" vertical="center" wrapText="1"/>
    </xf>
    <xf numFmtId="4" fontId="83" fillId="0" borderId="28" xfId="0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4" fillId="0" borderId="41" xfId="0" applyFont="1" applyFill="1" applyBorder="1"/>
    <xf numFmtId="4" fontId="3" fillId="0" borderId="25" xfId="0" applyNumberFormat="1" applyFont="1" applyFill="1" applyBorder="1"/>
    <xf numFmtId="4" fontId="85" fillId="0" borderId="19" xfId="0" applyNumberFormat="1" applyFont="1" applyBorder="1"/>
    <xf numFmtId="4" fontId="3" fillId="0" borderId="21" xfId="0" applyNumberFormat="1" applyFont="1" applyBorder="1"/>
    <xf numFmtId="2" fontId="3" fillId="0" borderId="19" xfId="0" applyNumberFormat="1" applyFont="1" applyBorder="1"/>
    <xf numFmtId="2" fontId="3" fillId="0" borderId="21" xfId="0" applyNumberFormat="1" applyFont="1" applyBorder="1"/>
    <xf numFmtId="2" fontId="3" fillId="0" borderId="42" xfId="0" applyNumberFormat="1" applyFont="1" applyBorder="1"/>
    <xf numFmtId="2" fontId="3" fillId="0" borderId="43" xfId="0" applyNumberFormat="1" applyFont="1" applyBorder="1"/>
    <xf numFmtId="2" fontId="3" fillId="0" borderId="25" xfId="0" applyNumberFormat="1" applyFont="1" applyBorder="1"/>
    <xf numFmtId="0" fontId="3" fillId="0" borderId="0" xfId="0" applyFont="1"/>
    <xf numFmtId="0" fontId="84" fillId="0" borderId="44" xfId="0" applyFont="1" applyBorder="1"/>
    <xf numFmtId="4" fontId="3" fillId="0" borderId="16" xfId="0" applyNumberFormat="1" applyFont="1" applyFill="1" applyBorder="1"/>
    <xf numFmtId="4" fontId="85" fillId="0" borderId="3" xfId="0" applyNumberFormat="1" applyFont="1" applyBorder="1"/>
    <xf numFmtId="4" fontId="3" fillId="0" borderId="15" xfId="0" applyNumberFormat="1" applyFont="1" applyBorder="1"/>
    <xf numFmtId="2" fontId="3" fillId="0" borderId="3" xfId="0" applyNumberFormat="1" applyFont="1" applyBorder="1"/>
    <xf numFmtId="2" fontId="3" fillId="0" borderId="15" xfId="0" applyNumberFormat="1" applyFont="1" applyBorder="1"/>
    <xf numFmtId="2" fontId="3" fillId="0" borderId="45" xfId="0" applyNumberFormat="1" applyFont="1" applyBorder="1"/>
    <xf numFmtId="2" fontId="3" fillId="0" borderId="12" xfId="0" applyNumberFormat="1" applyFont="1" applyBorder="1"/>
    <xf numFmtId="2" fontId="3" fillId="0" borderId="16" xfId="0" applyNumberFormat="1" applyFont="1" applyBorder="1"/>
    <xf numFmtId="0" fontId="86" fillId="0" borderId="46" xfId="0" applyFont="1" applyBorder="1"/>
    <xf numFmtId="4" fontId="86" fillId="0" borderId="16" xfId="0" applyNumberFormat="1" applyFont="1" applyFill="1" applyBorder="1"/>
    <xf numFmtId="4" fontId="86" fillId="0" borderId="17" xfId="0" applyNumberFormat="1" applyFont="1" applyBorder="1"/>
    <xf numFmtId="4" fontId="86" fillId="0" borderId="18" xfId="0" applyNumberFormat="1" applyFont="1" applyBorder="1"/>
    <xf numFmtId="4" fontId="86" fillId="0" borderId="22" xfId="0" applyNumberFormat="1" applyFont="1" applyBorder="1"/>
    <xf numFmtId="2" fontId="86" fillId="0" borderId="18" xfId="0" applyNumberFormat="1" applyFont="1" applyBorder="1"/>
    <xf numFmtId="2" fontId="86" fillId="0" borderId="15" xfId="0" applyNumberFormat="1" applyFont="1" applyBorder="1"/>
    <xf numFmtId="2" fontId="86" fillId="0" borderId="47" xfId="0" applyNumberFormat="1" applyFont="1" applyBorder="1"/>
    <xf numFmtId="2" fontId="86" fillId="0" borderId="12" xfId="0" applyNumberFormat="1" applyFont="1" applyBorder="1"/>
    <xf numFmtId="2" fontId="86" fillId="0" borderId="45" xfId="0" applyNumberFormat="1" applyFont="1" applyBorder="1"/>
    <xf numFmtId="2" fontId="86" fillId="0" borderId="3" xfId="0" applyNumberFormat="1" applyFont="1" applyBorder="1"/>
    <xf numFmtId="2" fontId="86" fillId="0" borderId="16" xfId="0" applyNumberFormat="1" applyFont="1" applyBorder="1"/>
    <xf numFmtId="2" fontId="84" fillId="0" borderId="0" xfId="0" applyNumberFormat="1" applyFont="1"/>
    <xf numFmtId="0" fontId="87" fillId="0" borderId="44" xfId="0" applyFont="1" applyBorder="1"/>
    <xf numFmtId="2" fontId="88" fillId="0" borderId="16" xfId="0" applyNumberFormat="1" applyFont="1" applyBorder="1"/>
    <xf numFmtId="2" fontId="88" fillId="0" borderId="3" xfId="0" applyNumberFormat="1" applyFont="1" applyBorder="1"/>
    <xf numFmtId="2" fontId="88" fillId="0" borderId="15" xfId="0" applyNumberFormat="1" applyFont="1" applyBorder="1"/>
    <xf numFmtId="2" fontId="88" fillId="0" borderId="45" xfId="0" applyNumberFormat="1" applyFont="1" applyBorder="1"/>
    <xf numFmtId="2" fontId="87" fillId="0" borderId="0" xfId="0" applyNumberFormat="1" applyFont="1"/>
    <xf numFmtId="2" fontId="87" fillId="30" borderId="0" xfId="0" applyNumberFormat="1" applyFont="1" applyFill="1"/>
    <xf numFmtId="4" fontId="3" fillId="0" borderId="45" xfId="0" applyNumberFormat="1" applyFont="1" applyFill="1" applyBorder="1"/>
    <xf numFmtId="4" fontId="3" fillId="0" borderId="3" xfId="0" applyNumberFormat="1" applyFont="1" applyBorder="1"/>
    <xf numFmtId="4" fontId="3" fillId="0" borderId="16" xfId="0" applyNumberFormat="1" applyFont="1" applyBorder="1"/>
    <xf numFmtId="4" fontId="3" fillId="0" borderId="18" xfId="0" applyNumberFormat="1" applyFont="1" applyBorder="1"/>
    <xf numFmtId="4" fontId="3" fillId="0" borderId="14" xfId="0" applyNumberFormat="1" applyFont="1" applyBorder="1"/>
    <xf numFmtId="4" fontId="89" fillId="0" borderId="3" xfId="0" applyNumberFormat="1" applyFont="1" applyBorder="1"/>
    <xf numFmtId="2" fontId="3" fillId="0" borderId="14" xfId="0" applyNumberFormat="1" applyFont="1" applyBorder="1"/>
    <xf numFmtId="4" fontId="90" fillId="0" borderId="3" xfId="0" applyNumberFormat="1" applyFont="1" applyBorder="1"/>
    <xf numFmtId="4" fontId="88" fillId="0" borderId="14" xfId="0" applyNumberFormat="1" applyFont="1" applyBorder="1"/>
    <xf numFmtId="0" fontId="86" fillId="0" borderId="44" xfId="0" applyFont="1" applyBorder="1"/>
    <xf numFmtId="2" fontId="86" fillId="0" borderId="14" xfId="0" applyNumberFormat="1" applyFont="1" applyBorder="1"/>
    <xf numFmtId="4" fontId="91" fillId="0" borderId="3" xfId="0" applyNumberFormat="1" applyFont="1" applyBorder="1"/>
    <xf numFmtId="4" fontId="86" fillId="0" borderId="14" xfId="0" applyNumberFormat="1" applyFont="1" applyBorder="1"/>
    <xf numFmtId="0" fontId="3" fillId="0" borderId="3" xfId="0" applyFont="1" applyBorder="1"/>
    <xf numFmtId="0" fontId="3" fillId="0" borderId="15" xfId="0" applyFont="1" applyBorder="1"/>
    <xf numFmtId="2" fontId="92" fillId="0" borderId="3" xfId="0" applyNumberFormat="1" applyFont="1" applyBorder="1"/>
    <xf numFmtId="0" fontId="86" fillId="0" borderId="3" xfId="0" applyFont="1" applyBorder="1"/>
    <xf numFmtId="0" fontId="3" fillId="0" borderId="16" xfId="0" applyFont="1" applyBorder="1"/>
    <xf numFmtId="4" fontId="85" fillId="0" borderId="3" xfId="0" applyNumberFormat="1" applyFont="1" applyFill="1" applyBorder="1"/>
    <xf numFmtId="4" fontId="86" fillId="0" borderId="45" xfId="0" applyNumberFormat="1" applyFont="1" applyBorder="1"/>
    <xf numFmtId="4" fontId="86" fillId="0" borderId="3" xfId="0" applyNumberFormat="1" applyFont="1" applyBorder="1"/>
    <xf numFmtId="4" fontId="86" fillId="0" borderId="15" xfId="0" applyNumberFormat="1" applyFont="1" applyBorder="1"/>
    <xf numFmtId="0" fontId="3" fillId="0" borderId="45" xfId="0" applyFont="1" applyBorder="1"/>
    <xf numFmtId="4" fontId="86" fillId="0" borderId="16" xfId="0" applyNumberFormat="1" applyFont="1" applyBorder="1"/>
    <xf numFmtId="0" fontId="84" fillId="0" borderId="3" xfId="0" applyFont="1" applyFill="1" applyBorder="1"/>
    <xf numFmtId="2" fontId="3" fillId="0" borderId="13" xfId="0" applyNumberFormat="1" applyFont="1" applyBorder="1"/>
    <xf numFmtId="2" fontId="86" fillId="0" borderId="20" xfId="0" applyNumberFormat="1" applyFont="1" applyBorder="1"/>
    <xf numFmtId="2" fontId="3" fillId="0" borderId="20" xfId="0" applyNumberFormat="1" applyFont="1" applyBorder="1"/>
    <xf numFmtId="2" fontId="88" fillId="0" borderId="14" xfId="0" applyNumberFormat="1" applyFont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2" fontId="87" fillId="29" borderId="0" xfId="0" applyNumberFormat="1" applyFont="1" applyFill="1"/>
    <xf numFmtId="0" fontId="74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80" fillId="0" borderId="0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86" fillId="0" borderId="0" xfId="0" applyFont="1" applyBorder="1"/>
    <xf numFmtId="0" fontId="3" fillId="0" borderId="0" xfId="0" applyFont="1" applyBorder="1"/>
    <xf numFmtId="4" fontId="86" fillId="0" borderId="0" xfId="0" applyNumberFormat="1" applyFont="1" applyBorder="1"/>
    <xf numFmtId="0" fontId="84" fillId="0" borderId="0" xfId="0" applyFont="1" applyBorder="1"/>
    <xf numFmtId="0" fontId="3" fillId="0" borderId="14" xfId="0" applyFont="1" applyBorder="1"/>
    <xf numFmtId="4" fontId="88" fillId="0" borderId="45" xfId="0" applyNumberFormat="1" applyFont="1" applyFill="1" applyBorder="1"/>
    <xf numFmtId="4" fontId="88" fillId="0" borderId="45" xfId="0" applyNumberFormat="1" applyFont="1" applyBorder="1"/>
    <xf numFmtId="174" fontId="4" fillId="0" borderId="3" xfId="0" applyNumberFormat="1" applyFont="1" applyFill="1" applyBorder="1" applyAlignment="1">
      <alignment horizontal="center" vertical="center" wrapText="1"/>
    </xf>
    <xf numFmtId="4" fontId="88" fillId="0" borderId="48" xfId="0" applyNumberFormat="1" applyFont="1" applyFill="1" applyBorder="1"/>
    <xf numFmtId="4" fontId="88" fillId="0" borderId="48" xfId="0" applyNumberFormat="1" applyFont="1" applyBorder="1"/>
    <xf numFmtId="4" fontId="3" fillId="29" borderId="14" xfId="0" applyNumberFormat="1" applyFont="1" applyFill="1" applyBorder="1"/>
    <xf numFmtId="0" fontId="80" fillId="29" borderId="0" xfId="0" applyFont="1" applyFill="1" applyBorder="1" applyAlignment="1">
      <alignment horizontal="center" vertical="center"/>
    </xf>
    <xf numFmtId="174" fontId="69" fillId="0" borderId="3" xfId="0" applyNumberFormat="1" applyFont="1" applyFill="1" applyBorder="1" applyAlignment="1">
      <alignment horizontal="center" vertical="center" wrapText="1"/>
    </xf>
    <xf numFmtId="174" fontId="74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right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5" xfId="245" applyFont="1" applyFill="1" applyBorder="1" applyAlignment="1">
      <alignment horizontal="left" vertical="center" wrapText="1"/>
    </xf>
    <xf numFmtId="0" fontId="74" fillId="0" borderId="14" xfId="245" applyFont="1" applyFill="1" applyBorder="1" applyAlignment="1">
      <alignment horizontal="left" vertical="center" wrapText="1"/>
    </xf>
    <xf numFmtId="174" fontId="74" fillId="0" borderId="14" xfId="245" applyNumberFormat="1" applyFont="1" applyFill="1" applyBorder="1" applyAlignment="1">
      <alignment horizontal="left" vertical="center" wrapText="1"/>
    </xf>
    <xf numFmtId="0" fontId="74" fillId="0" borderId="16" xfId="245" applyFont="1" applyFill="1" applyBorder="1" applyAlignment="1">
      <alignment horizontal="left" vertical="center" wrapText="1"/>
    </xf>
    <xf numFmtId="0" fontId="70" fillId="0" borderId="0" xfId="245" applyFont="1" applyFill="1"/>
    <xf numFmtId="0" fontId="74" fillId="0" borderId="19" xfId="0" applyFont="1" applyFill="1" applyBorder="1" applyAlignment="1">
      <alignment horizontal="left" vertical="center" wrapText="1"/>
    </xf>
    <xf numFmtId="0" fontId="74" fillId="0" borderId="19" xfId="0" quotePrefix="1" applyFont="1" applyFill="1" applyBorder="1" applyAlignment="1">
      <alignment horizontal="center" vertical="center"/>
    </xf>
    <xf numFmtId="0" fontId="69" fillId="0" borderId="3" xfId="0" quotePrefix="1" applyFont="1" applyFill="1" applyBorder="1" applyAlignment="1">
      <alignment horizontal="center" vertical="center"/>
    </xf>
    <xf numFmtId="174" fontId="69" fillId="0" borderId="0" xfId="0" applyNumberFormat="1" applyFont="1" applyFill="1" applyAlignment="1">
      <alignment vertical="center"/>
    </xf>
    <xf numFmtId="180" fontId="74" fillId="0" borderId="14" xfId="245" applyNumberFormat="1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19" xfId="0" quotePrefix="1" applyFont="1" applyFill="1" applyBorder="1" applyAlignment="1">
      <alignment horizontal="center" vertical="center"/>
    </xf>
    <xf numFmtId="0" fontId="74" fillId="0" borderId="0" xfId="0" quotePrefix="1" applyFont="1" applyFill="1" applyBorder="1" applyAlignment="1">
      <alignment horizontal="center" vertical="center"/>
    </xf>
    <xf numFmtId="170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applyNumberFormat="1" applyFont="1" applyFill="1" applyBorder="1" applyAlignment="1">
      <alignment horizontal="right" vertical="center" wrapText="1"/>
    </xf>
    <xf numFmtId="170" fontId="74" fillId="0" borderId="0" xfId="0" applyNumberFormat="1" applyFont="1" applyFill="1" applyBorder="1" applyAlignment="1">
      <alignment horizontal="right" vertical="center"/>
    </xf>
    <xf numFmtId="0" fontId="74" fillId="0" borderId="0" xfId="0" applyFont="1" applyFill="1" applyAlignment="1">
      <alignment vertical="center"/>
    </xf>
    <xf numFmtId="0" fontId="74" fillId="0" borderId="0" xfId="0" quotePrefix="1" applyFont="1" applyFill="1" applyBorder="1" applyAlignment="1">
      <alignment horizontal="center"/>
    </xf>
    <xf numFmtId="171" fontId="67" fillId="0" borderId="0" xfId="0" applyNumberFormat="1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left" vertical="top"/>
    </xf>
    <xf numFmtId="0" fontId="69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vertical="center"/>
    </xf>
    <xf numFmtId="0" fontId="103" fillId="0" borderId="0" xfId="245" applyFont="1" applyFill="1" applyBorder="1" applyAlignment="1">
      <alignment vertical="center"/>
    </xf>
    <xf numFmtId="174" fontId="69" fillId="0" borderId="0" xfId="0" applyNumberFormat="1" applyFont="1" applyFill="1" applyAlignment="1">
      <alignment horizontal="center" vertical="center"/>
    </xf>
    <xf numFmtId="174" fontId="103" fillId="0" borderId="0" xfId="0" applyNumberFormat="1" applyFont="1" applyFill="1" applyAlignment="1">
      <alignment horizontal="center" vertical="center"/>
    </xf>
    <xf numFmtId="174" fontId="69" fillId="0" borderId="0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174" fontId="69" fillId="0" borderId="3" xfId="0" applyNumberFormat="1" applyFont="1" applyFill="1" applyBorder="1" applyAlignment="1">
      <alignment horizontal="right" vertical="center" wrapText="1"/>
    </xf>
    <xf numFmtId="174" fontId="69" fillId="0" borderId="3" xfId="0" applyNumberFormat="1" applyFont="1" applyFill="1" applyBorder="1" applyAlignment="1">
      <alignment horizontal="right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174" fontId="72" fillId="0" borderId="3" xfId="0" applyNumberFormat="1" applyFont="1" applyFill="1" applyBorder="1" applyAlignment="1">
      <alignment horizontal="right" vertical="center" wrapText="1"/>
    </xf>
    <xf numFmtId="174" fontId="72" fillId="0" borderId="3" xfId="0" applyNumberFormat="1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/>
    </xf>
    <xf numFmtId="174" fontId="74" fillId="0" borderId="3" xfId="0" applyNumberFormat="1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vertical="center"/>
    </xf>
    <xf numFmtId="0" fontId="69" fillId="0" borderId="3" xfId="0" applyFont="1" applyFill="1" applyBorder="1" applyAlignment="1">
      <alignment vertical="center" wrapText="1"/>
    </xf>
    <xf numFmtId="0" fontId="67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7" fillId="0" borderId="3" xfId="0" quotePrefix="1" applyFont="1" applyFill="1" applyBorder="1" applyAlignment="1">
      <alignment horizontal="center" vertical="center"/>
    </xf>
    <xf numFmtId="174" fontId="67" fillId="0" borderId="3" xfId="0" applyNumberFormat="1" applyFont="1" applyFill="1" applyBorder="1" applyAlignment="1">
      <alignment horizontal="right" vertical="center" wrapText="1"/>
    </xf>
    <xf numFmtId="0" fontId="74" fillId="0" borderId="3" xfId="0" quotePrefix="1" applyFont="1" applyFill="1" applyBorder="1" applyAlignment="1">
      <alignment horizontal="center" vertical="center"/>
    </xf>
    <xf numFmtId="0" fontId="69" fillId="0" borderId="15" xfId="0" applyNumberFormat="1" applyFont="1" applyFill="1" applyBorder="1" applyAlignment="1">
      <alignment vertical="center" wrapText="1" shrinkToFit="1"/>
    </xf>
    <xf numFmtId="0" fontId="69" fillId="0" borderId="1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4" fontId="7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 wrapText="1"/>
    </xf>
    <xf numFmtId="174" fontId="7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vertical="center"/>
    </xf>
    <xf numFmtId="0" fontId="78" fillId="0" borderId="0" xfId="0" applyFont="1" applyFill="1" applyBorder="1" applyAlignment="1">
      <alignment horizontal="center" wrapText="1"/>
    </xf>
    <xf numFmtId="0" fontId="4" fillId="0" borderId="0" xfId="0" quotePrefix="1" applyFont="1" applyFill="1" applyBorder="1" applyAlignment="1">
      <alignment horizontal="center"/>
    </xf>
    <xf numFmtId="171" fontId="4" fillId="0" borderId="0" xfId="0" quotePrefix="1" applyNumberFormat="1" applyFont="1" applyFill="1" applyBorder="1" applyAlignment="1">
      <alignment wrapText="1"/>
    </xf>
    <xf numFmtId="0" fontId="99" fillId="0" borderId="0" xfId="0" applyFont="1" applyFill="1" applyBorder="1" applyAlignment="1">
      <alignment vertical="top"/>
    </xf>
    <xf numFmtId="0" fontId="80" fillId="0" borderId="0" xfId="0" applyFont="1" applyFill="1" applyBorder="1" applyAlignment="1">
      <alignment horizontal="left" vertical="top"/>
    </xf>
    <xf numFmtId="174" fontId="5" fillId="0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106" fillId="0" borderId="0" xfId="0" applyFont="1" applyFill="1" applyBorder="1" applyAlignment="1"/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vertical="center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vertical="center"/>
    </xf>
    <xf numFmtId="0" fontId="73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 wrapText="1"/>
    </xf>
    <xf numFmtId="0" fontId="69" fillId="0" borderId="15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horizontal="right" vertical="center" wrapText="1"/>
    </xf>
    <xf numFmtId="0" fontId="72" fillId="0" borderId="0" xfId="0" applyFont="1" applyFill="1" applyAlignment="1">
      <alignment horizontal="center" vertical="center"/>
    </xf>
    <xf numFmtId="0" fontId="69" fillId="0" borderId="3" xfId="182" applyFont="1" applyFill="1" applyBorder="1" applyAlignment="1">
      <alignment vertical="center" wrapText="1"/>
      <protection locked="0"/>
    </xf>
    <xf numFmtId="0" fontId="74" fillId="0" borderId="3" xfId="182" applyFont="1" applyFill="1" applyBorder="1" applyAlignment="1">
      <alignment vertical="center" wrapText="1"/>
      <protection locked="0"/>
    </xf>
    <xf numFmtId="0" fontId="69" fillId="0" borderId="3" xfId="245" applyFont="1" applyFill="1" applyBorder="1" applyAlignment="1">
      <alignment horizontal="left" vertical="center" wrapText="1"/>
    </xf>
    <xf numFmtId="0" fontId="69" fillId="0" borderId="3" xfId="0" applyFont="1" applyFill="1" applyBorder="1" applyAlignment="1" applyProtection="1">
      <alignment horizontal="left" vertical="center" wrapText="1"/>
      <protection locked="0"/>
    </xf>
    <xf numFmtId="0" fontId="74" fillId="0" borderId="3" xfId="0" applyFont="1" applyFill="1" applyBorder="1" applyAlignment="1" applyProtection="1">
      <alignment horizontal="left" vertical="center" wrapText="1"/>
      <protection locked="0"/>
    </xf>
    <xf numFmtId="178" fontId="69" fillId="0" borderId="3" xfId="0" applyNumberFormat="1" applyFont="1" applyFill="1" applyBorder="1" applyAlignment="1">
      <alignment horizontal="center" vertical="center" wrapText="1"/>
    </xf>
    <xf numFmtId="174" fontId="69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49" fontId="69" fillId="0" borderId="3" xfId="0" applyNumberFormat="1" applyFont="1" applyFill="1" applyBorder="1" applyAlignment="1">
      <alignment horizontal="center" vertical="center"/>
    </xf>
    <xf numFmtId="171" fontId="69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 applyProtection="1">
      <alignment horizontal="left" vertical="center"/>
      <protection locked="0"/>
    </xf>
    <xf numFmtId="171" fontId="74" fillId="0" borderId="0" xfId="0" applyNumberFormat="1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right" vertical="center" wrapText="1"/>
    </xf>
    <xf numFmtId="171" fontId="6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 wrapText="1"/>
    </xf>
    <xf numFmtId="2" fontId="69" fillId="0" borderId="3" xfId="0" applyNumberFormat="1" applyFont="1" applyFill="1" applyBorder="1" applyAlignment="1">
      <alignment horizontal="left" vertical="center" wrapText="1"/>
    </xf>
    <xf numFmtId="174" fontId="74" fillId="0" borderId="0" xfId="0" applyNumberFormat="1" applyFont="1" applyFill="1" applyBorder="1" applyAlignment="1">
      <alignment horizontal="center" vertical="center" wrapText="1"/>
    </xf>
    <xf numFmtId="49" fontId="74" fillId="0" borderId="0" xfId="0" applyNumberFormat="1" applyFont="1" applyFill="1" applyBorder="1" applyAlignment="1">
      <alignment horizontal="left" vertical="center" wrapText="1"/>
    </xf>
    <xf numFmtId="171" fontId="69" fillId="0" borderId="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174" fontId="5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174" fontId="79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/>
    <xf numFmtId="171" fontId="74" fillId="0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left" vertical="center" wrapText="1" shrinkToFit="1"/>
    </xf>
    <xf numFmtId="170" fontId="97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/>
    </xf>
    <xf numFmtId="171" fontId="69" fillId="0" borderId="3" xfId="0" applyNumberFormat="1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horizontal="center" vertical="center" wrapText="1"/>
    </xf>
    <xf numFmtId="3" fontId="74" fillId="0" borderId="3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" fontId="69" fillId="0" borderId="0" xfId="0" applyNumberFormat="1" applyFont="1" applyFill="1" applyBorder="1" applyAlignment="1">
      <alignment horizontal="center" vertical="center"/>
    </xf>
    <xf numFmtId="49" fontId="105" fillId="0" borderId="3" xfId="0" applyNumberFormat="1" applyFont="1" applyFill="1" applyBorder="1" applyAlignment="1">
      <alignment horizontal="left" vertical="center" wrapText="1"/>
    </xf>
    <xf numFmtId="0" fontId="10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1" fontId="5" fillId="0" borderId="0" xfId="0" applyNumberFormat="1" applyFont="1" applyFill="1" applyAlignment="1">
      <alignment vertical="center"/>
    </xf>
    <xf numFmtId="0" fontId="74" fillId="0" borderId="0" xfId="245" applyFont="1" applyFill="1" applyBorder="1" applyAlignment="1">
      <alignment horizontal="right" vertical="center"/>
    </xf>
    <xf numFmtId="0" fontId="72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/>
    </xf>
    <xf numFmtId="0" fontId="74" fillId="0" borderId="3" xfId="245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vertical="center"/>
    </xf>
    <xf numFmtId="0" fontId="74" fillId="0" borderId="3" xfId="245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horizontal="left" vertical="center" wrapText="1"/>
    </xf>
    <xf numFmtId="171" fontId="69" fillId="0" borderId="0" xfId="245" applyNumberFormat="1" applyFont="1" applyFill="1" applyBorder="1" applyAlignment="1">
      <alignment horizontal="center" vertical="center" wrapText="1"/>
    </xf>
    <xf numFmtId="171" fontId="69" fillId="0" borderId="0" xfId="245" applyNumberFormat="1" applyFont="1" applyFill="1" applyBorder="1" applyAlignment="1">
      <alignment horizontal="right" vertical="center" wrapText="1"/>
    </xf>
    <xf numFmtId="0" fontId="69" fillId="0" borderId="0" xfId="245" applyFont="1" applyFill="1" applyBorder="1" applyAlignment="1">
      <alignment vertical="center" wrapText="1"/>
    </xf>
    <xf numFmtId="174" fontId="69" fillId="0" borderId="0" xfId="245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180" fontId="67" fillId="0" borderId="3" xfId="0" applyNumberFormat="1" applyFont="1" applyFill="1" applyBorder="1" applyAlignment="1">
      <alignment horizontal="center" vertical="center" wrapText="1"/>
    </xf>
    <xf numFmtId="174" fontId="67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174" fontId="69" fillId="0" borderId="3" xfId="0" applyNumberFormat="1" applyFont="1" applyFill="1" applyBorder="1" applyAlignment="1">
      <alignment horizontal="center" vertical="center"/>
    </xf>
    <xf numFmtId="170" fontId="69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74" fillId="0" borderId="3" xfId="0" quotePrefix="1" applyNumberFormat="1" applyFont="1" applyFill="1" applyBorder="1" applyAlignment="1">
      <alignment horizontal="center" vertical="center" wrapText="1"/>
    </xf>
    <xf numFmtId="0" fontId="69" fillId="0" borderId="3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171" fontId="80" fillId="29" borderId="0" xfId="0" applyNumberFormat="1" applyFont="1" applyFill="1" applyBorder="1" applyAlignment="1">
      <alignment horizontal="center" wrapText="1"/>
    </xf>
    <xf numFmtId="0" fontId="88" fillId="0" borderId="3" xfId="0" applyFont="1" applyBorder="1"/>
    <xf numFmtId="4" fontId="108" fillId="0" borderId="3" xfId="0" applyNumberFormat="1" applyFont="1" applyBorder="1"/>
    <xf numFmtId="0" fontId="108" fillId="0" borderId="3" xfId="0" applyFont="1" applyBorder="1"/>
    <xf numFmtId="0" fontId="81" fillId="0" borderId="0" xfId="0" applyFont="1"/>
    <xf numFmtId="4" fontId="88" fillId="0" borderId="3" xfId="0" applyNumberFormat="1" applyFont="1" applyBorder="1"/>
    <xf numFmtId="0" fontId="88" fillId="0" borderId="44" xfId="0" applyFont="1" applyBorder="1"/>
    <xf numFmtId="0" fontId="88" fillId="0" borderId="3" xfId="0" applyFont="1" applyFill="1" applyBorder="1"/>
    <xf numFmtId="0" fontId="87" fillId="0" borderId="3" xfId="0" applyFont="1" applyFill="1" applyBorder="1"/>
    <xf numFmtId="0" fontId="84" fillId="0" borderId="0" xfId="0" applyFont="1" applyFill="1" applyBorder="1"/>
    <xf numFmtId="4" fontId="83" fillId="30" borderId="28" xfId="0" applyNumberFormat="1" applyFont="1" applyFill="1" applyBorder="1" applyAlignment="1">
      <alignment horizontal="center" vertical="center" wrapText="1"/>
    </xf>
    <xf numFmtId="4" fontId="83" fillId="29" borderId="28" xfId="0" applyNumberFormat="1" applyFont="1" applyFill="1" applyBorder="1" applyAlignment="1">
      <alignment horizontal="center" vertical="center" wrapText="1"/>
    </xf>
    <xf numFmtId="4" fontId="86" fillId="0" borderId="48" xfId="0" applyNumberFormat="1" applyFont="1" applyBorder="1"/>
    <xf numFmtId="4" fontId="88" fillId="0" borderId="15" xfId="0" applyNumberFormat="1" applyFont="1" applyBorder="1"/>
    <xf numFmtId="4" fontId="108" fillId="0" borderId="15" xfId="0" applyNumberFormat="1" applyFont="1" applyBorder="1"/>
    <xf numFmtId="4" fontId="88" fillId="0" borderId="16" xfId="0" applyNumberFormat="1" applyFont="1" applyFill="1" applyBorder="1"/>
    <xf numFmtId="4" fontId="88" fillId="0" borderId="16" xfId="0" applyNumberFormat="1" applyFont="1" applyBorder="1"/>
    <xf numFmtId="4" fontId="3" fillId="0" borderId="14" xfId="0" applyNumberFormat="1" applyFont="1" applyFill="1" applyBorder="1"/>
    <xf numFmtId="4" fontId="88" fillId="0" borderId="3" xfId="0" applyNumberFormat="1" applyFont="1" applyFill="1" applyBorder="1"/>
    <xf numFmtId="179" fontId="6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2" fontId="0" fillId="0" borderId="0" xfId="0" applyNumberFormat="1"/>
    <xf numFmtId="4" fontId="0" fillId="0" borderId="0" xfId="0" applyNumberFormat="1"/>
    <xf numFmtId="174" fontId="74" fillId="0" borderId="0" xfId="0" applyNumberFormat="1" applyFont="1" applyFill="1" applyBorder="1" applyAlignment="1">
      <alignment vertical="center"/>
    </xf>
    <xf numFmtId="3" fontId="69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0" fontId="74" fillId="0" borderId="0" xfId="0" applyFont="1" applyFill="1" applyBorder="1" applyAlignment="1">
      <alignment horizontal="left" vertical="center"/>
    </xf>
    <xf numFmtId="0" fontId="74" fillId="0" borderId="13" xfId="0" applyFont="1" applyFill="1" applyBorder="1" applyAlignment="1">
      <alignment horizontal="left" vertical="center" wrapText="1"/>
    </xf>
    <xf numFmtId="171" fontId="74" fillId="0" borderId="0" xfId="0" applyNumberFormat="1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vertical="center"/>
    </xf>
    <xf numFmtId="170" fontId="69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3" fontId="69" fillId="0" borderId="3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 wrapText="1" shrinkToFit="1"/>
    </xf>
    <xf numFmtId="0" fontId="69" fillId="0" borderId="0" xfId="0" applyFont="1" applyFill="1" applyBorder="1" applyAlignment="1">
      <alignment vertical="center" wrapText="1" shrinkToFit="1"/>
    </xf>
    <xf numFmtId="3" fontId="5" fillId="0" borderId="0" xfId="0" applyNumberFormat="1" applyFont="1" applyFill="1" applyBorder="1" applyAlignment="1">
      <alignment vertical="center"/>
    </xf>
    <xf numFmtId="0" fontId="69" fillId="0" borderId="0" xfId="0" applyFont="1" applyFill="1" applyBorder="1" applyAlignment="1"/>
    <xf numFmtId="0" fontId="80" fillId="0" borderId="0" xfId="0" applyFont="1" applyFill="1" applyAlignment="1">
      <alignment horizontal="left" vertical="top"/>
    </xf>
    <xf numFmtId="0" fontId="80" fillId="0" borderId="0" xfId="0" applyFont="1" applyFill="1" applyAlignment="1">
      <alignment vertical="top"/>
    </xf>
    <xf numFmtId="170" fontId="69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174" fontId="5" fillId="0" borderId="3" xfId="0" applyNumberFormat="1" applyFont="1" applyFill="1" applyBorder="1" applyAlignment="1">
      <alignment horizontal="center" vertical="center"/>
    </xf>
    <xf numFmtId="0" fontId="69" fillId="0" borderId="3" xfId="0" quotePrefix="1" applyNumberFormat="1" applyFont="1" applyFill="1" applyBorder="1" applyAlignment="1">
      <alignment horizontal="center" vertical="center" wrapText="1"/>
    </xf>
    <xf numFmtId="0" fontId="69" fillId="0" borderId="0" xfId="0" quotePrefix="1" applyFont="1" applyFill="1" applyBorder="1" applyAlignment="1">
      <alignment horizontal="center"/>
    </xf>
    <xf numFmtId="171" fontId="72" fillId="0" borderId="0" xfId="0" applyNumberFormat="1" applyFont="1" applyFill="1" applyBorder="1" applyAlignment="1"/>
    <xf numFmtId="0" fontId="69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left" vertical="center" wrapText="1"/>
    </xf>
    <xf numFmtId="1" fontId="107" fillId="0" borderId="0" xfId="0" applyNumberFormat="1" applyFont="1" applyFill="1" applyBorder="1" applyAlignment="1">
      <alignment horizontal="right" vertical="center" wrapText="1"/>
    </xf>
    <xf numFmtId="1" fontId="107" fillId="0" borderId="0" xfId="0" applyNumberFormat="1" applyFont="1" applyFill="1" applyBorder="1" applyAlignment="1">
      <alignment horizontal="right" vertical="center"/>
    </xf>
    <xf numFmtId="0" fontId="0" fillId="29" borderId="0" xfId="0" applyFill="1"/>
    <xf numFmtId="0" fontId="111" fillId="29" borderId="3" xfId="0" applyFont="1" applyFill="1" applyBorder="1" applyAlignment="1">
      <alignment horizontal="center" vertical="center" wrapText="1"/>
    </xf>
    <xf numFmtId="179" fontId="0" fillId="29" borderId="0" xfId="0" applyNumberFormat="1" applyFill="1"/>
    <xf numFmtId="0" fontId="114" fillId="29" borderId="0" xfId="0" applyFont="1" applyFill="1"/>
    <xf numFmtId="0" fontId="111" fillId="29" borderId="0" xfId="0" applyFont="1" applyFill="1"/>
    <xf numFmtId="0" fontId="110" fillId="29" borderId="3" xfId="0" applyFont="1" applyFill="1" applyBorder="1" applyAlignment="1">
      <alignment horizontal="left" vertical="center" wrapText="1"/>
    </xf>
    <xf numFmtId="0" fontId="110" fillId="29" borderId="0" xfId="0" applyFont="1" applyFill="1" applyAlignment="1">
      <alignment horizontal="center"/>
    </xf>
    <xf numFmtId="0" fontId="115" fillId="29" borderId="0" xfId="0" applyFont="1" applyFill="1" applyAlignment="1">
      <alignment horizontal="center"/>
    </xf>
    <xf numFmtId="0" fontId="116" fillId="29" borderId="0" xfId="0" applyFont="1" applyFill="1" applyAlignment="1">
      <alignment horizontal="center"/>
    </xf>
    <xf numFmtId="0" fontId="80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117" fillId="0" borderId="0" xfId="245" applyFont="1" applyFill="1" applyBorder="1" applyAlignment="1">
      <alignment vertical="center"/>
    </xf>
    <xf numFmtId="174" fontId="70" fillId="0" borderId="16" xfId="0" applyNumberFormat="1" applyFont="1" applyFill="1" applyBorder="1" applyAlignment="1">
      <alignment vertical="center" wrapText="1"/>
    </xf>
    <xf numFmtId="0" fontId="69" fillId="0" borderId="15" xfId="0" applyFont="1" applyFill="1" applyBorder="1" applyAlignment="1">
      <alignment horizontal="center" vertical="center" wrapText="1" shrinkToFit="1"/>
    </xf>
    <xf numFmtId="3" fontId="69" fillId="0" borderId="3" xfId="0" applyNumberFormat="1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left" vertical="center" wrapText="1" shrinkToFit="1"/>
    </xf>
    <xf numFmtId="0" fontId="107" fillId="0" borderId="0" xfId="245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69" fillId="0" borderId="3" xfId="0" applyNumberFormat="1" applyFont="1" applyFill="1" applyBorder="1" applyAlignment="1">
      <alignment horizontal="right" vertical="center" wrapText="1"/>
    </xf>
    <xf numFmtId="174" fontId="67" fillId="0" borderId="3" xfId="0" applyNumberFormat="1" applyFont="1" applyFill="1" applyBorder="1" applyAlignment="1">
      <alignment horizontal="center" vertical="center"/>
    </xf>
    <xf numFmtId="0" fontId="118" fillId="0" borderId="0" xfId="0" applyFont="1" applyFill="1" applyBorder="1" applyAlignment="1">
      <alignment wrapText="1"/>
    </xf>
    <xf numFmtId="171" fontId="118" fillId="0" borderId="0" xfId="0" applyNumberFormat="1" applyFont="1" applyFill="1" applyBorder="1" applyAlignment="1">
      <alignment horizontal="right" wrapText="1"/>
    </xf>
    <xf numFmtId="0" fontId="118" fillId="0" borderId="0" xfId="0" applyFont="1" applyFill="1" applyBorder="1" applyAlignment="1"/>
    <xf numFmtId="0" fontId="80" fillId="0" borderId="3" xfId="0" applyFont="1" applyFill="1" applyBorder="1" applyAlignment="1">
      <alignment horizontal="left" vertical="center"/>
    </xf>
    <xf numFmtId="0" fontId="80" fillId="0" borderId="3" xfId="0" applyFont="1" applyFill="1" applyBorder="1" applyAlignment="1">
      <alignment horizontal="center" vertical="center" wrapText="1"/>
    </xf>
    <xf numFmtId="174" fontId="80" fillId="0" borderId="3" xfId="0" applyNumberFormat="1" applyFont="1" applyFill="1" applyBorder="1" applyAlignment="1">
      <alignment horizontal="center" vertical="center" wrapText="1"/>
    </xf>
    <xf numFmtId="174" fontId="80" fillId="0" borderId="3" xfId="0" applyNumberFormat="1" applyFont="1" applyFill="1" applyBorder="1" applyAlignment="1">
      <alignment vertical="center"/>
    </xf>
    <xf numFmtId="0" fontId="111" fillId="29" borderId="3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/>
    </xf>
    <xf numFmtId="170" fontId="103" fillId="0" borderId="3" xfId="0" applyNumberFormat="1" applyFont="1" applyFill="1" applyBorder="1" applyAlignment="1">
      <alignment vertical="center" wrapText="1"/>
    </xf>
    <xf numFmtId="0" fontId="5" fillId="0" borderId="15" xfId="0" applyNumberFormat="1" applyFont="1" applyFill="1" applyBorder="1" applyAlignment="1">
      <alignment vertical="center" wrapText="1" shrinkToFit="1"/>
    </xf>
    <xf numFmtId="174" fontId="4" fillId="0" borderId="3" xfId="0" applyNumberFormat="1" applyFont="1" applyFill="1" applyBorder="1" applyAlignment="1">
      <alignment vertical="center"/>
    </xf>
    <xf numFmtId="3" fontId="67" fillId="0" borderId="3" xfId="0" applyNumberFormat="1" applyFont="1" applyFill="1" applyBorder="1" applyAlignment="1">
      <alignment horizontal="center" vertical="center" wrapText="1"/>
    </xf>
    <xf numFmtId="174" fontId="69" fillId="0" borderId="3" xfId="0" applyNumberFormat="1" applyFont="1" applyFill="1" applyBorder="1" applyAlignment="1">
      <alignment vertical="center"/>
    </xf>
    <xf numFmtId="174" fontId="67" fillId="0" borderId="3" xfId="0" applyNumberFormat="1" applyFont="1" applyFill="1" applyBorder="1" applyAlignment="1">
      <alignment horizontal="right" vertical="center"/>
    </xf>
    <xf numFmtId="3" fontId="97" fillId="0" borderId="3" xfId="0" applyNumberFormat="1" applyFont="1" applyFill="1" applyBorder="1" applyAlignment="1">
      <alignment vertical="center"/>
    </xf>
    <xf numFmtId="3" fontId="74" fillId="0" borderId="0" xfId="0" applyNumberFormat="1" applyFont="1" applyFill="1" applyBorder="1" applyAlignment="1">
      <alignment vertical="center"/>
    </xf>
    <xf numFmtId="10" fontId="5" fillId="0" borderId="0" xfId="0" applyNumberFormat="1" applyFont="1" applyFill="1" applyBorder="1" applyAlignment="1">
      <alignment vertical="center"/>
    </xf>
    <xf numFmtId="180" fontId="74" fillId="0" borderId="16" xfId="245" applyNumberFormat="1" applyFont="1" applyFill="1" applyBorder="1" applyAlignment="1">
      <alignment horizontal="left" vertical="center" wrapText="1"/>
    </xf>
    <xf numFmtId="0" fontId="111" fillId="29" borderId="3" xfId="0" applyFont="1" applyFill="1" applyBorder="1" applyAlignment="1">
      <alignment horizontal="center" vertical="center" wrapText="1"/>
    </xf>
    <xf numFmtId="0" fontId="112" fillId="29" borderId="19" xfId="0" applyFont="1" applyFill="1" applyBorder="1" applyAlignment="1">
      <alignment horizontal="left" vertical="center" wrapText="1"/>
    </xf>
    <xf numFmtId="0" fontId="111" fillId="29" borderId="3" xfId="0" applyFont="1" applyFill="1" applyBorder="1" applyAlignment="1">
      <alignment horizontal="left" vertical="center" wrapText="1"/>
    </xf>
    <xf numFmtId="0" fontId="112" fillId="29" borderId="3" xfId="0" applyFont="1" applyFill="1" applyBorder="1" applyAlignment="1">
      <alignment horizontal="left" vertical="center" wrapText="1"/>
    </xf>
    <xf numFmtId="0" fontId="80" fillId="29" borderId="3" xfId="0" applyFont="1" applyFill="1" applyBorder="1" applyAlignment="1">
      <alignment horizontal="left" vertical="center" wrapText="1"/>
    </xf>
    <xf numFmtId="3" fontId="112" fillId="29" borderId="19" xfId="0" applyNumberFormat="1" applyFont="1" applyFill="1" applyBorder="1" applyAlignment="1">
      <alignment horizontal="center" vertical="center" wrapText="1"/>
    </xf>
    <xf numFmtId="170" fontId="112" fillId="29" borderId="19" xfId="0" applyNumberFormat="1" applyFont="1" applyFill="1" applyBorder="1" applyAlignment="1">
      <alignment horizontal="center" vertical="center" wrapText="1"/>
    </xf>
    <xf numFmtId="3" fontId="80" fillId="29" borderId="3" xfId="0" applyNumberFormat="1" applyFont="1" applyFill="1" applyBorder="1" applyAlignment="1">
      <alignment horizontal="center" vertical="center"/>
    </xf>
    <xf numFmtId="3" fontId="111" fillId="29" borderId="19" xfId="0" applyNumberFormat="1" applyFont="1" applyFill="1" applyBorder="1" applyAlignment="1">
      <alignment horizontal="center" vertical="center" wrapText="1"/>
    </xf>
    <xf numFmtId="170" fontId="111" fillId="29" borderId="19" xfId="0" applyNumberFormat="1" applyFont="1" applyFill="1" applyBorder="1" applyAlignment="1">
      <alignment horizontal="center" vertical="center" wrapText="1"/>
    </xf>
    <xf numFmtId="3" fontId="99" fillId="31" borderId="3" xfId="0" applyNumberFormat="1" applyFont="1" applyFill="1" applyBorder="1" applyAlignment="1">
      <alignment horizontal="center" vertical="center"/>
    </xf>
    <xf numFmtId="3" fontId="112" fillId="29" borderId="19" xfId="0" applyNumberFormat="1" applyFont="1" applyFill="1" applyBorder="1" applyAlignment="1">
      <alignment horizontal="center" vertical="center"/>
    </xf>
    <xf numFmtId="170" fontId="112" fillId="29" borderId="19" xfId="0" applyNumberFormat="1" applyFont="1" applyFill="1" applyBorder="1" applyAlignment="1">
      <alignment horizontal="center" vertical="center"/>
    </xf>
    <xf numFmtId="3" fontId="111" fillId="29" borderId="19" xfId="0" applyNumberFormat="1" applyFont="1" applyFill="1" applyBorder="1" applyAlignment="1">
      <alignment horizontal="center" vertical="center"/>
    </xf>
    <xf numFmtId="170" fontId="111" fillId="29" borderId="19" xfId="0" applyNumberFormat="1" applyFont="1" applyFill="1" applyBorder="1" applyAlignment="1">
      <alignment horizontal="center" vertical="center"/>
    </xf>
    <xf numFmtId="3" fontId="112" fillId="31" borderId="19" xfId="0" applyNumberFormat="1" applyFont="1" applyFill="1" applyBorder="1" applyAlignment="1">
      <alignment horizontal="center" vertical="center"/>
    </xf>
    <xf numFmtId="3" fontId="111" fillId="29" borderId="3" xfId="0" applyNumberFormat="1" applyFont="1" applyFill="1" applyBorder="1" applyAlignment="1">
      <alignment horizontal="center" vertical="center"/>
    </xf>
    <xf numFmtId="0" fontId="112" fillId="29" borderId="3" xfId="0" applyFont="1" applyFill="1" applyBorder="1" applyAlignment="1">
      <alignment vertical="center" wrapText="1"/>
    </xf>
    <xf numFmtId="0" fontId="0" fillId="29" borderId="0" xfId="0" applyFill="1" applyAlignment="1">
      <alignment vertical="center"/>
    </xf>
    <xf numFmtId="182" fontId="0" fillId="29" borderId="0" xfId="0" applyNumberFormat="1" applyFill="1" applyAlignment="1">
      <alignment vertical="center"/>
    </xf>
    <xf numFmtId="0" fontId="111" fillId="29" borderId="3" xfId="0" applyFont="1" applyFill="1" applyBorder="1" applyAlignment="1">
      <alignment vertical="center" wrapText="1"/>
    </xf>
    <xf numFmtId="182" fontId="99" fillId="31" borderId="3" xfId="0" applyNumberFormat="1" applyFont="1" applyFill="1" applyBorder="1" applyAlignment="1">
      <alignment horizontal="center" vertical="center" wrapText="1"/>
    </xf>
    <xf numFmtId="182" fontId="80" fillId="29" borderId="3" xfId="0" applyNumberFormat="1" applyFont="1" applyFill="1" applyBorder="1" applyAlignment="1">
      <alignment horizontal="center" vertical="center" wrapText="1"/>
    </xf>
    <xf numFmtId="182" fontId="80" fillId="29" borderId="16" xfId="0" applyNumberFormat="1" applyFont="1" applyFill="1" applyBorder="1" applyAlignment="1">
      <alignment horizontal="center" vertical="center" wrapText="1"/>
    </xf>
    <xf numFmtId="183" fontId="112" fillId="29" borderId="3" xfId="0" applyNumberFormat="1" applyFont="1" applyFill="1" applyBorder="1" applyAlignment="1">
      <alignment horizontal="center" vertical="center" wrapText="1"/>
    </xf>
    <xf numFmtId="183" fontId="111" fillId="29" borderId="3" xfId="0" applyNumberFormat="1" applyFont="1" applyFill="1" applyBorder="1" applyAlignment="1">
      <alignment horizontal="center" vertical="center" wrapText="1"/>
    </xf>
    <xf numFmtId="1" fontId="111" fillId="29" borderId="19" xfId="0" applyNumberFormat="1" applyFont="1" applyFill="1" applyBorder="1" applyAlignment="1">
      <alignment horizontal="center" vertical="center" wrapText="1"/>
    </xf>
    <xf numFmtId="3" fontId="112" fillId="29" borderId="3" xfId="0" applyNumberFormat="1" applyFont="1" applyFill="1" applyBorder="1" applyAlignment="1">
      <alignment horizontal="center" vertical="center"/>
    </xf>
    <xf numFmtId="3" fontId="111" fillId="29" borderId="3" xfId="0" quotePrefix="1" applyNumberFormat="1" applyFont="1" applyFill="1" applyBorder="1" applyAlignment="1">
      <alignment horizontal="center" vertical="center"/>
    </xf>
    <xf numFmtId="174" fontId="74" fillId="0" borderId="16" xfId="245" applyNumberFormat="1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80" fillId="0" borderId="0" xfId="0" applyFont="1" applyFill="1" applyBorder="1" applyAlignment="1">
      <alignment horizontal="center" vertical="top"/>
    </xf>
    <xf numFmtId="0" fontId="69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vertical="center"/>
    </xf>
    <xf numFmtId="3" fontId="69" fillId="0" borderId="3" xfId="0" applyNumberFormat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0" fontId="76" fillId="0" borderId="0" xfId="0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/>
    </xf>
    <xf numFmtId="180" fontId="74" fillId="0" borderId="3" xfId="0" applyNumberFormat="1" applyFont="1" applyFill="1" applyBorder="1" applyAlignment="1">
      <alignment horizontal="center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174" fontId="107" fillId="0" borderId="0" xfId="0" applyNumberFormat="1" applyFont="1" applyFill="1" applyBorder="1" applyAlignment="1">
      <alignment vertical="center"/>
    </xf>
    <xf numFmtId="174" fontId="69" fillId="0" borderId="0" xfId="245" applyNumberFormat="1" applyFont="1" applyFill="1" applyBorder="1" applyAlignment="1">
      <alignment vertical="center"/>
    </xf>
    <xf numFmtId="174" fontId="72" fillId="0" borderId="3" xfId="0" applyNumberFormat="1" applyFont="1" applyFill="1" applyBorder="1" applyAlignment="1">
      <alignment horizontal="center" vertical="center" wrapText="1"/>
    </xf>
    <xf numFmtId="174" fontId="69" fillId="0" borderId="3" xfId="0" applyNumberFormat="1" applyFont="1" applyFill="1" applyBorder="1" applyAlignment="1">
      <alignment horizontal="right" vertical="center" wrapText="1" shrinkToFit="1"/>
    </xf>
    <xf numFmtId="174" fontId="77" fillId="0" borderId="16" xfId="0" applyNumberFormat="1" applyFont="1" applyFill="1" applyBorder="1" applyAlignment="1">
      <alignment vertical="center" wrapText="1"/>
    </xf>
    <xf numFmtId="0" fontId="74" fillId="0" borderId="16" xfId="0" applyFont="1" applyFill="1" applyBorder="1" applyAlignment="1">
      <alignment vertical="center"/>
    </xf>
    <xf numFmtId="174" fontId="109" fillId="0" borderId="3" xfId="0" applyNumberFormat="1" applyFont="1" applyFill="1" applyBorder="1" applyAlignment="1">
      <alignment horizontal="right" vertical="center"/>
    </xf>
    <xf numFmtId="0" fontId="79" fillId="0" borderId="3" xfId="0" applyFont="1" applyFill="1" applyBorder="1" applyAlignment="1">
      <alignment horizontal="left" vertical="center" wrapText="1"/>
    </xf>
    <xf numFmtId="0" fontId="10" fillId="0" borderId="0" xfId="0" applyFont="1" applyFill="1"/>
    <xf numFmtId="0" fontId="5" fillId="0" borderId="3" xfId="237" applyFont="1" applyFill="1" applyBorder="1" applyAlignment="1">
      <alignment horizontal="center" vertical="center"/>
    </xf>
    <xf numFmtId="0" fontId="4" fillId="0" borderId="3" xfId="237" applyFont="1" applyFill="1" applyBorder="1" applyAlignment="1">
      <alignment horizontal="left" vertical="center"/>
    </xf>
    <xf numFmtId="0" fontId="5" fillId="0" borderId="3" xfId="237" applyNumberFormat="1" applyFont="1" applyFill="1" applyBorder="1" applyAlignment="1">
      <alignment horizontal="center" vertical="center" wrapText="1"/>
    </xf>
    <xf numFmtId="180" fontId="5" fillId="0" borderId="3" xfId="237" applyNumberFormat="1" applyFont="1" applyFill="1" applyBorder="1" applyAlignment="1">
      <alignment horizontal="right" vertical="center" wrapText="1"/>
    </xf>
    <xf numFmtId="49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171" fontId="5" fillId="0" borderId="3" xfId="237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  <xf numFmtId="0" fontId="7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quotePrefix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80" fillId="0" borderId="0" xfId="0" applyFont="1" applyFill="1" applyAlignment="1">
      <alignment horizontal="center" vertical="center"/>
    </xf>
    <xf numFmtId="0" fontId="100" fillId="0" borderId="0" xfId="0" applyFont="1" applyFill="1" applyAlignment="1">
      <alignment vertical="center"/>
    </xf>
    <xf numFmtId="0" fontId="80" fillId="0" borderId="0" xfId="0" applyFont="1" applyFill="1" applyAlignment="1">
      <alignment vertical="center"/>
    </xf>
    <xf numFmtId="171" fontId="74" fillId="0" borderId="3" xfId="0" applyNumberFormat="1" applyFont="1" applyFill="1" applyBorder="1" applyAlignment="1">
      <alignment vertical="center" wrapText="1"/>
    </xf>
    <xf numFmtId="3" fontId="67" fillId="0" borderId="3" xfId="0" applyNumberFormat="1" applyFont="1" applyFill="1" applyBorder="1" applyAlignment="1">
      <alignment horizontal="center" vertical="center" wrapText="1" shrinkToFit="1"/>
    </xf>
    <xf numFmtId="0" fontId="67" fillId="0" borderId="3" xfId="0" applyNumberFormat="1" applyFont="1" applyFill="1" applyBorder="1" applyAlignment="1">
      <alignment vertical="center" wrapText="1" shrinkToFit="1"/>
    </xf>
    <xf numFmtId="174" fontId="67" fillId="0" borderId="3" xfId="0" applyNumberFormat="1" applyFont="1" applyFill="1" applyBorder="1" applyAlignment="1">
      <alignment vertical="center" wrapText="1" shrinkToFit="1"/>
    </xf>
    <xf numFmtId="174" fontId="69" fillId="0" borderId="3" xfId="0" applyNumberFormat="1" applyFont="1" applyFill="1" applyBorder="1" applyAlignment="1">
      <alignment vertical="center" wrapText="1" shrinkToFit="1"/>
    </xf>
    <xf numFmtId="0" fontId="69" fillId="0" borderId="3" xfId="0" applyNumberFormat="1" applyFont="1" applyFill="1" applyBorder="1" applyAlignment="1">
      <alignment vertical="center" wrapText="1" shrinkToFit="1"/>
    </xf>
    <xf numFmtId="174" fontId="74" fillId="0" borderId="3" xfId="0" applyNumberFormat="1" applyFont="1" applyFill="1" applyBorder="1" applyAlignment="1">
      <alignment horizontal="center" vertical="center"/>
    </xf>
    <xf numFmtId="0" fontId="110" fillId="0" borderId="3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right" vertical="center" wrapText="1"/>
    </xf>
    <xf numFmtId="0" fontId="70" fillId="0" borderId="13" xfId="0" applyFont="1" applyFill="1" applyBorder="1" applyAlignment="1">
      <alignment horizontal="righ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right" vertical="center"/>
    </xf>
    <xf numFmtId="0" fontId="69" fillId="0" borderId="20" xfId="0" applyFont="1" applyFill="1" applyBorder="1" applyAlignment="1">
      <alignment horizontal="left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69" fillId="0" borderId="18" xfId="0" applyFont="1" applyFill="1" applyBorder="1" applyAlignment="1">
      <alignment horizontal="center" vertical="center" wrapText="1" shrinkToFit="1"/>
    </xf>
    <xf numFmtId="0" fontId="69" fillId="0" borderId="19" xfId="0" applyFont="1" applyFill="1" applyBorder="1" applyAlignment="1">
      <alignment horizontal="center" vertical="center" wrapText="1" shrinkToFi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 applyProtection="1">
      <alignment horizontal="center" vertical="center"/>
      <protection locked="0"/>
    </xf>
    <xf numFmtId="0" fontId="75" fillId="0" borderId="14" xfId="0" applyFont="1" applyFill="1" applyBorder="1" applyAlignment="1" applyProtection="1">
      <alignment horizontal="center" vertical="center"/>
      <protection locked="0"/>
    </xf>
    <xf numFmtId="0" fontId="75" fillId="0" borderId="16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237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 wrapText="1"/>
    </xf>
    <xf numFmtId="1" fontId="69" fillId="0" borderId="14" xfId="0" applyNumberFormat="1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right" vertical="center"/>
    </xf>
    <xf numFmtId="0" fontId="69" fillId="0" borderId="16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 wrapText="1"/>
    </xf>
    <xf numFmtId="0" fontId="71" fillId="0" borderId="21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10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1" fontId="74" fillId="0" borderId="0" xfId="0" applyNumberFormat="1" applyFont="1" applyFill="1" applyBorder="1" applyAlignment="1">
      <alignment horizontal="center" wrapText="1"/>
    </xf>
    <xf numFmtId="171" fontId="74" fillId="0" borderId="0" xfId="0" quotePrefix="1" applyNumberFormat="1" applyFont="1" applyFill="1" applyBorder="1" applyAlignment="1">
      <alignment horizontal="center" wrapText="1"/>
    </xf>
    <xf numFmtId="0" fontId="74" fillId="0" borderId="13" xfId="0" applyFont="1" applyFill="1" applyBorder="1" applyAlignment="1">
      <alignment horizontal="center"/>
    </xf>
    <xf numFmtId="0" fontId="7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75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75" fillId="0" borderId="15" xfId="245" applyFont="1" applyFill="1" applyBorder="1" applyAlignment="1">
      <alignment horizontal="center" vertical="center" wrapText="1"/>
    </xf>
    <xf numFmtId="0" fontId="75" fillId="0" borderId="14" xfId="245" applyFont="1" applyFill="1" applyBorder="1" applyAlignment="1">
      <alignment horizontal="center" vertical="center" wrapText="1"/>
    </xf>
    <xf numFmtId="0" fontId="75" fillId="0" borderId="16" xfId="245" applyFont="1" applyFill="1" applyBorder="1" applyAlignment="1">
      <alignment horizontal="center" vertical="center" wrapText="1"/>
    </xf>
    <xf numFmtId="0" fontId="75" fillId="0" borderId="3" xfId="245" applyFont="1" applyFill="1" applyBorder="1" applyAlignment="1">
      <alignment horizontal="center" vertical="center" wrapText="1"/>
    </xf>
    <xf numFmtId="0" fontId="69" fillId="0" borderId="18" xfId="245" applyFont="1" applyFill="1" applyBorder="1" applyAlignment="1">
      <alignment horizontal="center" vertical="center" wrapText="1"/>
    </xf>
    <xf numFmtId="0" fontId="69" fillId="0" borderId="19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vertical="top"/>
    </xf>
    <xf numFmtId="0" fontId="80" fillId="0" borderId="0" xfId="0" applyFont="1" applyFill="1" applyAlignment="1">
      <alignment horizontal="center" vertical="top"/>
    </xf>
    <xf numFmtId="0" fontId="69" fillId="0" borderId="18" xfId="0" applyFont="1" applyFill="1" applyBorder="1" applyAlignment="1">
      <alignment horizontal="center" vertical="center"/>
    </xf>
    <xf numFmtId="0" fontId="69" fillId="0" borderId="19" xfId="0" applyFont="1" applyFill="1" applyBorder="1" applyAlignment="1">
      <alignment horizontal="center" vertical="center"/>
    </xf>
    <xf numFmtId="171" fontId="4" fillId="0" borderId="0" xfId="0" applyNumberFormat="1" applyFont="1" applyFill="1" applyBorder="1" applyAlignment="1">
      <alignment horizontal="center" wrapText="1"/>
    </xf>
    <xf numFmtId="0" fontId="69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171" fontId="5" fillId="0" borderId="0" xfId="0" applyNumberFormat="1" applyFont="1" applyFill="1" applyBorder="1" applyAlignment="1">
      <alignment horizontal="center" vertical="center" wrapText="1"/>
    </xf>
    <xf numFmtId="171" fontId="5" fillId="0" borderId="0" xfId="0" quotePrefix="1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49" fontId="105" fillId="0" borderId="15" xfId="0" applyNumberFormat="1" applyFont="1" applyFill="1" applyBorder="1" applyAlignment="1">
      <alignment horizontal="center" vertical="center" wrapText="1"/>
    </xf>
    <xf numFmtId="49" fontId="105" fillId="0" borderId="16" xfId="0" applyNumberFormat="1" applyFont="1" applyFill="1" applyBorder="1" applyAlignment="1">
      <alignment horizontal="center" vertical="center" wrapText="1"/>
    </xf>
    <xf numFmtId="3" fontId="105" fillId="0" borderId="15" xfId="0" applyNumberFormat="1" applyFont="1" applyFill="1" applyBorder="1" applyAlignment="1">
      <alignment horizontal="right" vertical="center" wrapText="1"/>
    </xf>
    <xf numFmtId="3" fontId="105" fillId="0" borderId="16" xfId="0" applyNumberFormat="1" applyFont="1" applyFill="1" applyBorder="1" applyAlignment="1">
      <alignment horizontal="right" vertical="center" wrapText="1"/>
    </xf>
    <xf numFmtId="171" fontId="105" fillId="0" borderId="15" xfId="0" applyNumberFormat="1" applyFont="1" applyFill="1" applyBorder="1" applyAlignment="1">
      <alignment horizontal="center" vertical="center" wrapText="1"/>
    </xf>
    <xf numFmtId="171" fontId="105" fillId="0" borderId="16" xfId="0" applyNumberFormat="1" applyFont="1" applyFill="1" applyBorder="1" applyAlignment="1">
      <alignment horizontal="center" vertical="center" wrapText="1"/>
    </xf>
    <xf numFmtId="49" fontId="105" fillId="0" borderId="14" xfId="0" applyNumberFormat="1" applyFont="1" applyFill="1" applyBorder="1" applyAlignment="1">
      <alignment horizontal="center" vertical="center" wrapText="1"/>
    </xf>
    <xf numFmtId="181" fontId="105" fillId="0" borderId="15" xfId="353" applyNumberFormat="1" applyFont="1" applyFill="1" applyBorder="1" applyAlignment="1">
      <alignment horizontal="center" vertical="center" wrapText="1"/>
    </xf>
    <xf numFmtId="181" fontId="105" fillId="0" borderId="16" xfId="353" applyNumberFormat="1" applyFont="1" applyFill="1" applyBorder="1" applyAlignment="1">
      <alignment horizontal="center" vertical="center" wrapText="1"/>
    </xf>
    <xf numFmtId="3" fontId="105" fillId="0" borderId="15" xfId="0" applyNumberFormat="1" applyFont="1" applyFill="1" applyBorder="1" applyAlignment="1">
      <alignment horizontal="left" vertical="center" wrapText="1"/>
    </xf>
    <xf numFmtId="3" fontId="105" fillId="0" borderId="14" xfId="0" applyNumberFormat="1" applyFont="1" applyFill="1" applyBorder="1" applyAlignment="1">
      <alignment horizontal="left" vertical="center" wrapText="1"/>
    </xf>
    <xf numFmtId="3" fontId="105" fillId="0" borderId="16" xfId="0" applyNumberFormat="1" applyFont="1" applyFill="1" applyBorder="1" applyAlignment="1">
      <alignment horizontal="left" vertical="center" wrapText="1"/>
    </xf>
    <xf numFmtId="0" fontId="104" fillId="0" borderId="15" xfId="0" applyFont="1" applyFill="1" applyBorder="1" applyAlignment="1" applyProtection="1">
      <alignment horizontal="left" vertical="center" wrapText="1"/>
      <protection locked="0"/>
    </xf>
    <xf numFmtId="0" fontId="104" fillId="0" borderId="14" xfId="0" applyFont="1" applyFill="1" applyBorder="1" applyAlignment="1" applyProtection="1">
      <alignment horizontal="left" vertical="center" wrapText="1"/>
      <protection locked="0"/>
    </xf>
    <xf numFmtId="0" fontId="104" fillId="0" borderId="16" xfId="0" applyFont="1" applyFill="1" applyBorder="1" applyAlignment="1" applyProtection="1">
      <alignment horizontal="left" vertical="center" wrapText="1"/>
      <protection locked="0"/>
    </xf>
    <xf numFmtId="179" fontId="104" fillId="0" borderId="15" xfId="0" applyNumberFormat="1" applyFont="1" applyFill="1" applyBorder="1" applyAlignment="1">
      <alignment horizontal="center" vertical="center" wrapText="1"/>
    </xf>
    <xf numFmtId="179" fontId="104" fillId="0" borderId="14" xfId="0" applyNumberFormat="1" applyFont="1" applyFill="1" applyBorder="1" applyAlignment="1">
      <alignment horizontal="center" vertical="center" wrapText="1"/>
    </xf>
    <xf numFmtId="179" fontId="104" fillId="0" borderId="16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49" fontId="104" fillId="0" borderId="15" xfId="0" applyNumberFormat="1" applyFont="1" applyFill="1" applyBorder="1" applyAlignment="1">
      <alignment horizontal="center" vertical="center" wrapText="1"/>
    </xf>
    <xf numFmtId="49" fontId="104" fillId="0" borderId="16" xfId="0" applyNumberFormat="1" applyFont="1" applyFill="1" applyBorder="1" applyAlignment="1">
      <alignment horizontal="center" vertical="center" wrapText="1"/>
    </xf>
    <xf numFmtId="179" fontId="97" fillId="0" borderId="15" xfId="0" applyNumberFormat="1" applyFont="1" applyFill="1" applyBorder="1" applyAlignment="1">
      <alignment horizontal="center" vertical="center" wrapText="1"/>
    </xf>
    <xf numFmtId="179" fontId="97" fillId="0" borderId="14" xfId="0" applyNumberFormat="1" applyFont="1" applyFill="1" applyBorder="1" applyAlignment="1">
      <alignment horizontal="center" vertical="center" wrapText="1"/>
    </xf>
    <xf numFmtId="179" fontId="97" fillId="0" borderId="16" xfId="0" applyNumberFormat="1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center" vertical="center" wrapText="1"/>
    </xf>
    <xf numFmtId="49" fontId="104" fillId="0" borderId="3" xfId="0" applyNumberFormat="1" applyFont="1" applyFill="1" applyBorder="1" applyAlignment="1">
      <alignment horizontal="center" vertical="center" wrapText="1"/>
    </xf>
    <xf numFmtId="179" fontId="105" fillId="0" borderId="15" xfId="0" applyNumberFormat="1" applyFont="1" applyFill="1" applyBorder="1" applyAlignment="1">
      <alignment vertical="center" wrapText="1"/>
    </xf>
    <xf numFmtId="179" fontId="105" fillId="0" borderId="16" xfId="0" applyNumberFormat="1" applyFont="1" applyFill="1" applyBorder="1" applyAlignment="1">
      <alignment vertical="center" wrapText="1"/>
    </xf>
    <xf numFmtId="0" fontId="97" fillId="0" borderId="3" xfId="0" applyFont="1" applyFill="1" applyBorder="1" applyAlignment="1">
      <alignment horizontal="left" vertical="center" wrapText="1"/>
    </xf>
    <xf numFmtId="174" fontId="69" fillId="0" borderId="15" xfId="0" applyNumberFormat="1" applyFont="1" applyFill="1" applyBorder="1" applyAlignment="1">
      <alignment horizontal="center" vertical="center" wrapText="1"/>
    </xf>
    <xf numFmtId="174" fontId="69" fillId="0" borderId="16" xfId="0" applyNumberFormat="1" applyFont="1" applyFill="1" applyBorder="1" applyAlignment="1">
      <alignment horizontal="center" vertical="center" wrapText="1"/>
    </xf>
    <xf numFmtId="174" fontId="74" fillId="0" borderId="15" xfId="0" applyNumberFormat="1" applyFont="1" applyFill="1" applyBorder="1" applyAlignment="1">
      <alignment horizontal="center" vertical="center" wrapText="1"/>
    </xf>
    <xf numFmtId="174" fontId="74" fillId="0" borderId="16" xfId="0" applyNumberFormat="1" applyFont="1" applyFill="1" applyBorder="1" applyAlignment="1">
      <alignment horizontal="center" vertical="center" wrapText="1"/>
    </xf>
    <xf numFmtId="178" fontId="74" fillId="0" borderId="15" xfId="0" applyNumberFormat="1" applyFont="1" applyFill="1" applyBorder="1" applyAlignment="1">
      <alignment horizontal="center" vertical="center" wrapText="1"/>
    </xf>
    <xf numFmtId="178" fontId="74" fillId="0" borderId="16" xfId="0" applyNumberFormat="1" applyFont="1" applyFill="1" applyBorder="1" applyAlignment="1">
      <alignment horizontal="center" vertical="center" wrapText="1"/>
    </xf>
    <xf numFmtId="178" fontId="69" fillId="0" borderId="15" xfId="0" applyNumberFormat="1" applyFont="1" applyFill="1" applyBorder="1" applyAlignment="1">
      <alignment horizontal="center" vertical="center" wrapText="1"/>
    </xf>
    <xf numFmtId="178" fontId="69" fillId="0" borderId="16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4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justify" vertical="center" wrapText="1" shrinkToFit="1"/>
    </xf>
    <xf numFmtId="0" fontId="74" fillId="0" borderId="0" xfId="0" applyFont="1" applyFill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0" fontId="69" fillId="0" borderId="0" xfId="0" applyFont="1" applyFill="1" applyAlignment="1">
      <alignment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179" fontId="104" fillId="0" borderId="3" xfId="0" applyNumberFormat="1" applyFont="1" applyFill="1" applyBorder="1" applyAlignment="1">
      <alignment horizontal="center" vertical="center" wrapText="1"/>
    </xf>
    <xf numFmtId="0" fontId="105" fillId="0" borderId="15" xfId="0" applyFont="1" applyFill="1" applyBorder="1" applyAlignment="1">
      <alignment horizontal="center" vertical="center" wrapText="1"/>
    </xf>
    <xf numFmtId="0" fontId="105" fillId="0" borderId="14" xfId="0" applyFont="1" applyFill="1" applyBorder="1" applyAlignment="1">
      <alignment horizontal="center" vertical="center" wrapText="1"/>
    </xf>
    <xf numFmtId="0" fontId="105" fillId="0" borderId="16" xfId="0" applyFont="1" applyFill="1" applyBorder="1" applyAlignment="1">
      <alignment horizontal="center" vertical="center" wrapText="1"/>
    </xf>
    <xf numFmtId="181" fontId="105" fillId="0" borderId="15" xfId="353" applyNumberFormat="1" applyFont="1" applyFill="1" applyBorder="1" applyAlignment="1">
      <alignment horizontal="right" vertical="center" wrapText="1"/>
    </xf>
    <xf numFmtId="181" fontId="105" fillId="0" borderId="16" xfId="353" applyNumberFormat="1" applyFont="1" applyFill="1" applyBorder="1" applyAlignment="1">
      <alignment horizontal="right" vertical="center" wrapText="1"/>
    </xf>
    <xf numFmtId="3" fontId="105" fillId="0" borderId="15" xfId="0" applyNumberFormat="1" applyFont="1" applyFill="1" applyBorder="1" applyAlignment="1">
      <alignment horizontal="center" vertical="center" wrapText="1"/>
    </xf>
    <xf numFmtId="3" fontId="105" fillId="0" borderId="14" xfId="0" applyNumberFormat="1" applyFont="1" applyFill="1" applyBorder="1" applyAlignment="1">
      <alignment horizontal="center" vertical="center" wrapText="1"/>
    </xf>
    <xf numFmtId="3" fontId="105" fillId="0" borderId="16" xfId="0" applyNumberFormat="1" applyFont="1" applyFill="1" applyBorder="1" applyAlignment="1">
      <alignment horizontal="center" vertical="center" wrapText="1"/>
    </xf>
    <xf numFmtId="179" fontId="105" fillId="0" borderId="15" xfId="0" applyNumberFormat="1" applyFont="1" applyFill="1" applyBorder="1" applyAlignment="1">
      <alignment horizontal="center" vertical="center" wrapText="1"/>
    </xf>
    <xf numFmtId="179" fontId="105" fillId="0" borderId="16" xfId="0" applyNumberFormat="1" applyFont="1" applyFill="1" applyBorder="1" applyAlignment="1">
      <alignment horizontal="center" vertical="center" wrapText="1"/>
    </xf>
    <xf numFmtId="0" fontId="98" fillId="0" borderId="15" xfId="0" applyFont="1" applyFill="1" applyBorder="1" applyAlignment="1">
      <alignment horizontal="left" vertical="center" wrapText="1"/>
    </xf>
    <xf numFmtId="0" fontId="98" fillId="0" borderId="14" xfId="0" applyFont="1" applyFill="1" applyBorder="1" applyAlignment="1">
      <alignment horizontal="left" vertical="center" wrapText="1"/>
    </xf>
    <xf numFmtId="0" fontId="98" fillId="0" borderId="16" xfId="0" applyFont="1" applyFill="1" applyBorder="1" applyAlignment="1">
      <alignment horizontal="left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left" vertical="center" wrapText="1"/>
    </xf>
    <xf numFmtId="0" fontId="97" fillId="0" borderId="14" xfId="0" applyFont="1" applyFill="1" applyBorder="1" applyAlignment="1">
      <alignment horizontal="left" vertical="center" wrapText="1"/>
    </xf>
    <xf numFmtId="0" fontId="97" fillId="0" borderId="16" xfId="0" applyFont="1" applyFill="1" applyBorder="1" applyAlignment="1">
      <alignment horizontal="left" vertical="center" wrapText="1"/>
    </xf>
    <xf numFmtId="0" fontId="104" fillId="0" borderId="15" xfId="0" applyFont="1" applyFill="1" applyBorder="1" applyAlignment="1">
      <alignment horizontal="left" vertical="center" wrapText="1"/>
    </xf>
    <xf numFmtId="0" fontId="104" fillId="0" borderId="14" xfId="0" applyFont="1" applyFill="1" applyBorder="1" applyAlignment="1">
      <alignment horizontal="left" vertical="center" wrapText="1"/>
    </xf>
    <xf numFmtId="0" fontId="104" fillId="0" borderId="16" xfId="0" applyFont="1" applyFill="1" applyBorder="1" applyAlignment="1">
      <alignment horizontal="left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97" fillId="0" borderId="16" xfId="0" applyFont="1" applyFill="1" applyBorder="1" applyAlignment="1">
      <alignment horizontal="center" vertical="center" wrapText="1"/>
    </xf>
    <xf numFmtId="0" fontId="97" fillId="0" borderId="14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3" fontId="69" fillId="0" borderId="3" xfId="0" applyNumberFormat="1" applyFont="1" applyFill="1" applyBorder="1" applyAlignment="1">
      <alignment horizontal="center" vertical="center"/>
    </xf>
    <xf numFmtId="49" fontId="104" fillId="0" borderId="15" xfId="0" applyNumberFormat="1" applyFont="1" applyFill="1" applyBorder="1" applyAlignment="1">
      <alignment horizontal="left" vertical="center" wrapText="1"/>
    </xf>
    <xf numFmtId="49" fontId="104" fillId="0" borderId="14" xfId="0" applyNumberFormat="1" applyFont="1" applyFill="1" applyBorder="1" applyAlignment="1">
      <alignment horizontal="left" vertical="center" wrapText="1"/>
    </xf>
    <xf numFmtId="49" fontId="104" fillId="0" borderId="16" xfId="0" applyNumberFormat="1" applyFont="1" applyFill="1" applyBorder="1" applyAlignment="1">
      <alignment horizontal="left" vertical="center" wrapText="1"/>
    </xf>
    <xf numFmtId="174" fontId="74" fillId="0" borderId="15" xfId="0" applyNumberFormat="1" applyFont="1" applyFill="1" applyBorder="1" applyAlignment="1">
      <alignment horizontal="right" vertical="center" wrapText="1"/>
    </xf>
    <xf numFmtId="174" fontId="74" fillId="0" borderId="16" xfId="0" applyNumberFormat="1" applyFont="1" applyFill="1" applyBorder="1" applyAlignment="1">
      <alignment horizontal="right" vertical="center" wrapText="1"/>
    </xf>
    <xf numFmtId="0" fontId="97" fillId="0" borderId="3" xfId="0" applyFont="1" applyFill="1" applyBorder="1" applyAlignment="1">
      <alignment horizontal="center" vertical="center"/>
    </xf>
    <xf numFmtId="3" fontId="74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 wrapText="1"/>
    </xf>
    <xf numFmtId="0" fontId="70" fillId="0" borderId="0" xfId="0" applyFont="1" applyFill="1" applyAlignment="1">
      <alignment vertical="center" wrapText="1"/>
    </xf>
    <xf numFmtId="178" fontId="69" fillId="0" borderId="14" xfId="0" applyNumberFormat="1" applyFont="1" applyFill="1" applyBorder="1" applyAlignment="1">
      <alignment horizontal="center" vertical="center" wrapText="1"/>
    </xf>
    <xf numFmtId="49" fontId="69" fillId="0" borderId="22" xfId="0" applyNumberFormat="1" applyFont="1" applyFill="1" applyBorder="1" applyAlignment="1">
      <alignment horizontal="center" vertical="center" wrapText="1"/>
    </xf>
    <xf numFmtId="49" fontId="69" fillId="0" borderId="20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1" xfId="0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49" fontId="69" fillId="0" borderId="15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6" xfId="0" applyNumberFormat="1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180" fontId="69" fillId="0" borderId="15" xfId="0" applyNumberFormat="1" applyFont="1" applyFill="1" applyBorder="1" applyAlignment="1">
      <alignment horizontal="right" wrapText="1"/>
    </xf>
    <xf numFmtId="180" fontId="69" fillId="0" borderId="14" xfId="0" applyNumberFormat="1" applyFont="1" applyFill="1" applyBorder="1" applyAlignment="1">
      <alignment horizontal="right" wrapText="1"/>
    </xf>
    <xf numFmtId="180" fontId="69" fillId="0" borderId="16" xfId="0" applyNumberFormat="1" applyFont="1" applyFill="1" applyBorder="1" applyAlignment="1">
      <alignment horizontal="right" wrapText="1"/>
    </xf>
    <xf numFmtId="0" fontId="76" fillId="0" borderId="0" xfId="0" applyFont="1" applyFill="1" applyBorder="1" applyAlignment="1">
      <alignment horizontal="center" wrapText="1"/>
    </xf>
    <xf numFmtId="0" fontId="101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49" fontId="74" fillId="0" borderId="3" xfId="0" applyNumberFormat="1" applyFont="1" applyFill="1" applyBorder="1" applyAlignment="1">
      <alignment horizontal="center" vertical="center" wrapText="1"/>
    </xf>
    <xf numFmtId="180" fontId="74" fillId="0" borderId="3" xfId="0" applyNumberFormat="1" applyFont="1" applyFill="1" applyBorder="1" applyAlignment="1">
      <alignment horizontal="center" vertical="center" wrapText="1"/>
    </xf>
    <xf numFmtId="0" fontId="67" fillId="0" borderId="15" xfId="0" applyNumberFormat="1" applyFont="1" applyFill="1" applyBorder="1" applyAlignment="1">
      <alignment horizontal="left" vertical="center" wrapText="1" shrinkToFit="1"/>
    </xf>
    <xf numFmtId="0" fontId="67" fillId="0" borderId="14" xfId="0" applyNumberFormat="1" applyFont="1" applyFill="1" applyBorder="1" applyAlignment="1">
      <alignment horizontal="left" vertical="center" wrapText="1" shrinkToFit="1"/>
    </xf>
    <xf numFmtId="0" fontId="74" fillId="0" borderId="0" xfId="0" applyFont="1" applyFill="1" applyAlignment="1">
      <alignment horizontal="right" vertical="center" wrapText="1"/>
    </xf>
    <xf numFmtId="0" fontId="77" fillId="0" borderId="0" xfId="0" applyFont="1" applyFill="1" applyAlignment="1">
      <alignment horizontal="right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180" fontId="74" fillId="0" borderId="15" xfId="0" applyNumberFormat="1" applyFont="1" applyFill="1" applyBorder="1" applyAlignment="1">
      <alignment horizontal="center" vertical="center" wrapText="1"/>
    </xf>
    <xf numFmtId="180" fontId="74" fillId="0" borderId="14" xfId="0" applyNumberFormat="1" applyFont="1" applyFill="1" applyBorder="1" applyAlignment="1">
      <alignment horizontal="center" vertical="center" wrapText="1"/>
    </xf>
    <xf numFmtId="180" fontId="74" fillId="0" borderId="16" xfId="0" applyNumberFormat="1" applyFont="1" applyFill="1" applyBorder="1" applyAlignment="1">
      <alignment horizontal="center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70" fillId="0" borderId="13" xfId="0" applyFont="1" applyFill="1" applyBorder="1" applyAlignment="1">
      <alignment horizontal="left" vertical="center" wrapText="1"/>
    </xf>
    <xf numFmtId="180" fontId="69" fillId="0" borderId="15" xfId="0" applyNumberFormat="1" applyFont="1" applyFill="1" applyBorder="1" applyAlignment="1">
      <alignment horizontal="center" vertical="center" wrapText="1"/>
    </xf>
    <xf numFmtId="180" fontId="69" fillId="0" borderId="16" xfId="0" applyNumberFormat="1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left" vertical="center" wrapText="1"/>
    </xf>
    <xf numFmtId="3" fontId="74" fillId="0" borderId="14" xfId="0" applyNumberFormat="1" applyFont="1" applyFill="1" applyBorder="1" applyAlignment="1">
      <alignment horizontal="left" vertical="center" wrapText="1"/>
    </xf>
    <xf numFmtId="3" fontId="74" fillId="0" borderId="16" xfId="0" applyNumberFormat="1" applyFont="1" applyFill="1" applyBorder="1" applyAlignment="1">
      <alignment horizontal="left" vertical="center" wrapText="1"/>
    </xf>
    <xf numFmtId="3" fontId="69" fillId="0" borderId="15" xfId="0" applyNumberFormat="1" applyFont="1" applyFill="1" applyBorder="1" applyAlignment="1">
      <alignment horizontal="center" vertical="center" wrapText="1" shrinkToFit="1"/>
    </xf>
    <xf numFmtId="3" fontId="69" fillId="0" borderId="16" xfId="0" applyNumberFormat="1" applyFont="1" applyFill="1" applyBorder="1" applyAlignment="1">
      <alignment horizontal="center" vertical="center" wrapText="1" shrinkToFit="1"/>
    </xf>
    <xf numFmtId="0" fontId="74" fillId="0" borderId="15" xfId="0" applyFont="1" applyFill="1" applyBorder="1" applyAlignment="1">
      <alignment horizontal="center" vertical="center" wrapText="1" shrinkToFit="1"/>
    </xf>
    <xf numFmtId="0" fontId="74" fillId="0" borderId="16" xfId="0" applyFont="1" applyFill="1" applyBorder="1" applyAlignment="1">
      <alignment horizontal="center" vertical="center" wrapText="1" shrinkToFit="1"/>
    </xf>
    <xf numFmtId="49" fontId="7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7" fillId="0" borderId="15" xfId="0" applyFont="1" applyFill="1" applyBorder="1" applyAlignment="1">
      <alignment horizontal="left" vertical="center" wrapText="1"/>
    </xf>
    <xf numFmtId="0" fontId="67" fillId="0" borderId="14" xfId="0" applyFont="1" applyFill="1" applyBorder="1" applyAlignment="1">
      <alignment horizontal="left" vertical="center" wrapText="1"/>
    </xf>
    <xf numFmtId="0" fontId="67" fillId="0" borderId="16" xfId="0" applyFont="1" applyFill="1" applyBorder="1" applyAlignment="1">
      <alignment horizontal="left" vertical="center" wrapText="1"/>
    </xf>
    <xf numFmtId="0" fontId="69" fillId="0" borderId="15" xfId="0" applyNumberFormat="1" applyFont="1" applyFill="1" applyBorder="1" applyAlignment="1">
      <alignment horizontal="left" vertical="center" wrapText="1" shrinkToFit="1"/>
    </xf>
    <xf numFmtId="0" fontId="69" fillId="0" borderId="14" xfId="0" applyNumberFormat="1" applyFont="1" applyFill="1" applyBorder="1" applyAlignment="1">
      <alignment horizontal="left" vertical="center" wrapText="1" shrinkToFit="1"/>
    </xf>
    <xf numFmtId="179" fontId="69" fillId="0" borderId="3" xfId="0" applyNumberFormat="1" applyFont="1" applyFill="1" applyBorder="1" applyAlignment="1">
      <alignment horizontal="center" vertical="center" wrapText="1"/>
    </xf>
    <xf numFmtId="180" fontId="69" fillId="0" borderId="14" xfId="0" applyNumberFormat="1" applyFont="1" applyFill="1" applyBorder="1" applyAlignment="1">
      <alignment horizontal="center" vertical="center" wrapText="1"/>
    </xf>
    <xf numFmtId="179" fontId="69" fillId="0" borderId="15" xfId="0" applyNumberFormat="1" applyFont="1" applyFill="1" applyBorder="1" applyAlignment="1">
      <alignment horizontal="center" vertical="center" wrapText="1"/>
    </xf>
    <xf numFmtId="179" fontId="69" fillId="0" borderId="14" xfId="0" applyNumberFormat="1" applyFont="1" applyFill="1" applyBorder="1" applyAlignment="1">
      <alignment horizontal="center" vertical="center" wrapText="1"/>
    </xf>
    <xf numFmtId="179" fontId="69" fillId="0" borderId="16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49" fontId="67" fillId="0" borderId="3" xfId="0" applyNumberFormat="1" applyFont="1" applyFill="1" applyBorder="1" applyAlignment="1">
      <alignment horizontal="left" vertical="center" wrapText="1"/>
    </xf>
    <xf numFmtId="49" fontId="69" fillId="0" borderId="3" xfId="0" applyNumberFormat="1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74" fillId="0" borderId="14" xfId="0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center" vertical="center" wrapText="1"/>
    </xf>
    <xf numFmtId="179" fontId="74" fillId="0" borderId="15" xfId="0" applyNumberFormat="1" applyFont="1" applyFill="1" applyBorder="1" applyAlignment="1">
      <alignment horizontal="center" vertical="center" wrapText="1"/>
    </xf>
    <xf numFmtId="179" fontId="74" fillId="0" borderId="14" xfId="0" applyNumberFormat="1" applyFont="1" applyFill="1" applyBorder="1" applyAlignment="1">
      <alignment horizontal="center" vertical="center" wrapText="1"/>
    </xf>
    <xf numFmtId="179" fontId="74" fillId="0" borderId="16" xfId="0" applyNumberFormat="1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178" fontId="74" fillId="0" borderId="14" xfId="0" applyNumberFormat="1" applyFont="1" applyFill="1" applyBorder="1" applyAlignment="1">
      <alignment horizontal="center" vertical="center" wrapText="1"/>
    </xf>
    <xf numFmtId="171" fontId="69" fillId="0" borderId="0" xfId="0" applyNumberFormat="1" applyFont="1" applyFill="1" applyBorder="1" applyAlignment="1">
      <alignment horizontal="center" wrapText="1"/>
    </xf>
    <xf numFmtId="171" fontId="69" fillId="0" borderId="0" xfId="0" quotePrefix="1" applyNumberFormat="1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4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80" fillId="0" borderId="20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8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27" xfId="0" applyFont="1" applyBorder="1" applyAlignment="1">
      <alignment horizontal="center" wrapText="1"/>
    </xf>
    <xf numFmtId="0" fontId="93" fillId="0" borderId="28" xfId="0" applyFont="1" applyBorder="1" applyAlignment="1">
      <alignment horizontal="center" wrapText="1"/>
    </xf>
    <xf numFmtId="0" fontId="93" fillId="0" borderId="29" xfId="0" applyFont="1" applyBorder="1" applyAlignment="1">
      <alignment horizontal="center" wrapText="1"/>
    </xf>
    <xf numFmtId="9" fontId="93" fillId="0" borderId="27" xfId="0" applyNumberFormat="1" applyFont="1" applyBorder="1" applyAlignment="1">
      <alignment horizontal="center"/>
    </xf>
    <xf numFmtId="9" fontId="93" fillId="0" borderId="28" xfId="0" applyNumberFormat="1" applyFont="1" applyBorder="1" applyAlignment="1">
      <alignment horizontal="center"/>
    </xf>
    <xf numFmtId="9" fontId="93" fillId="0" borderId="29" xfId="0" applyNumberFormat="1" applyFont="1" applyBorder="1" applyAlignment="1">
      <alignment horizontal="center"/>
    </xf>
    <xf numFmtId="0" fontId="80" fillId="29" borderId="0" xfId="0" applyFont="1" applyFill="1" applyBorder="1" applyAlignment="1">
      <alignment horizontal="center" vertical="center"/>
    </xf>
    <xf numFmtId="0" fontId="82" fillId="29" borderId="0" xfId="0" applyFont="1" applyFill="1" applyBorder="1" applyAlignment="1">
      <alignment horizontal="center" wrapText="1"/>
    </xf>
    <xf numFmtId="0" fontId="81" fillId="0" borderId="34" xfId="0" applyFont="1" applyBorder="1" applyAlignment="1">
      <alignment horizontal="center"/>
    </xf>
    <xf numFmtId="0" fontId="114" fillId="29" borderId="0" xfId="0" applyFont="1" applyFill="1" applyAlignment="1">
      <alignment horizontal="center"/>
    </xf>
    <xf numFmtId="0" fontId="111" fillId="29" borderId="13" xfId="0" applyFont="1" applyFill="1" applyBorder="1" applyAlignment="1">
      <alignment horizontal="right"/>
    </xf>
    <xf numFmtId="0" fontId="111" fillId="29" borderId="18" xfId="0" applyFont="1" applyFill="1" applyBorder="1" applyAlignment="1">
      <alignment horizontal="center" vertical="center" wrapText="1"/>
    </xf>
    <xf numFmtId="0" fontId="111" fillId="29" borderId="49" xfId="0" applyFont="1" applyFill="1" applyBorder="1" applyAlignment="1">
      <alignment horizontal="center" vertical="center" wrapText="1"/>
    </xf>
    <xf numFmtId="0" fontId="111" fillId="29" borderId="19" xfId="0" applyFont="1" applyFill="1" applyBorder="1" applyAlignment="1">
      <alignment horizontal="center" vertical="center" wrapText="1"/>
    </xf>
    <xf numFmtId="0" fontId="111" fillId="29" borderId="3" xfId="0" applyFont="1" applyFill="1" applyBorder="1" applyAlignment="1">
      <alignment horizontal="center" vertical="center" wrapText="1"/>
    </xf>
    <xf numFmtId="164" fontId="111" fillId="29" borderId="3" xfId="0" applyNumberFormat="1" applyFont="1" applyFill="1" applyBorder="1" applyAlignment="1">
      <alignment horizontal="center" vertical="center" wrapText="1"/>
    </xf>
    <xf numFmtId="0" fontId="111" fillId="29" borderId="0" xfId="0" applyFont="1" applyFill="1" applyAlignment="1">
      <alignment horizontal="center"/>
    </xf>
    <xf numFmtId="0" fontId="111" fillId="29" borderId="0" xfId="0" applyFont="1" applyFill="1" applyBorder="1" applyAlignment="1">
      <alignment horizontal="right"/>
    </xf>
    <xf numFmtId="0" fontId="114" fillId="0" borderId="0" xfId="0" applyFont="1" applyAlignment="1">
      <alignment horizontal="center" wrapText="1"/>
    </xf>
    <xf numFmtId="0" fontId="113" fillId="29" borderId="0" xfId="0" applyFont="1" applyFill="1" applyAlignment="1">
      <alignment horizontal="center" wrapText="1"/>
    </xf>
    <xf numFmtId="0" fontId="110" fillId="29" borderId="0" xfId="0" applyFont="1" applyFill="1" applyAlignment="1">
      <alignment horizontal="right" wrapText="1"/>
    </xf>
    <xf numFmtId="0" fontId="109" fillId="29" borderId="0" xfId="0" applyFont="1" applyFill="1" applyAlignment="1">
      <alignment horizontal="center" wrapText="1"/>
    </xf>
    <xf numFmtId="0" fontId="110" fillId="29" borderId="0" xfId="0" applyFont="1" applyFill="1" applyBorder="1" applyAlignment="1">
      <alignment horizontal="right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41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OCUME~1\VOYTOV~1\LOCALS~1\Temp\Rar$DI00.867\Planning%20System%20Project\consolidation%20hq%20format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2;&#1080;&#1082;&#1086;&#1085;&#1072;&#1085;&#1085;&#1103;%202021%201%20&#1087;&#1110;&#1074;\&#1045;&#1082;&#1086;&#1042;&#1110;&#1085;\Ariadna\Sum_po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Users\NosarivskaTO\Desktop\&#1052;&#1086;&#1080;%20&#1076;&#1086;&#1082;&#1091;&#1084;&#1077;&#1085;&#1090;&#1080;\&#1060;&#1110;&#1085;&#1087;&#1083;&#1072;&#1085;\&#1060;&#1110;&#1085;&#1087;&#1083;&#1072;&#1085;%202022\&#1045;&#1082;&#1086;&#1042;&#1110;&#1085;\&#1060;&#1055;%20&#8470;____%20&#1074;&#1110;&#1076;%20.01.2022\Ariadna\Sum_p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_________________________Plan_ZP\!_&#1055;&#1077;&#1095;&#1072;&#1090;&#1100;\&#1052;&#1058;&#1056;%20&#1074;&#1089;&#1077;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SINKEV~1\LOCALS~1\Temp\Rar$DI00.781\Dept\FinPlan-Economy\Planning%20System%20Project\consolidation%20hq%20format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13%20&#1050;&#1059;&#1055;%20&#1045;&#1082;&#1086;&#1042;&#1110;&#1085;\01%20&#1047;&#1084;&#1110;&#1085;&#1080;%2004-2023\01%20&#1050;&#1059;&#1055;%20&#1045;&#1082;&#1086;&#1042;&#1110;&#1085;%20&#1059;&#1090;&#1086;&#1095;&#1085;&#1077;&#1085;&#1080;&#1081;%20&#1060;&#1055;%202023%20(2023-05-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/>
      <sheetData sheetId="3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до Формування"/>
      <sheetName val="ІІ. Розр. з бюджетом"/>
      <sheetName val="ІІІ. Рух грош. коштів"/>
      <sheetName val="Розшифровка до Руху"/>
      <sheetName val="IV. Кап. інвестиції"/>
      <sheetName val="Розшифровка кап"/>
      <sheetName val=" V. Коефіцієнти"/>
      <sheetName val="6.1. Інша інфо_1"/>
      <sheetName val="6.2. Інша інфо_2"/>
      <sheetName val="VII Статутн капіт"/>
      <sheetName val="Розшифровка статутний"/>
      <sheetName val="креди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3">
          <cell r="M33">
            <v>93508</v>
          </cell>
        </row>
        <row r="34">
          <cell r="M34">
            <v>9016</v>
          </cell>
        </row>
        <row r="35">
          <cell r="M35">
            <v>28412</v>
          </cell>
        </row>
        <row r="36">
          <cell r="M36">
            <v>5749</v>
          </cell>
        </row>
        <row r="37">
          <cell r="M37">
            <v>88</v>
          </cell>
        </row>
        <row r="38">
          <cell r="M38">
            <v>642</v>
          </cell>
        </row>
        <row r="39">
          <cell r="M39">
            <v>252</v>
          </cell>
        </row>
        <row r="40">
          <cell r="M40">
            <v>1052</v>
          </cell>
        </row>
        <row r="41">
          <cell r="M41">
            <v>768</v>
          </cell>
        </row>
        <row r="42">
          <cell r="M42">
            <v>16</v>
          </cell>
        </row>
        <row r="43">
          <cell r="M43">
            <v>9</v>
          </cell>
        </row>
        <row r="44">
          <cell r="M44">
            <v>139512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84"/>
  <sheetViews>
    <sheetView view="pageBreakPreview" topLeftCell="A43" zoomScale="60" zoomScaleNormal="75" workbookViewId="0">
      <selection activeCell="Q59" sqref="Q59"/>
    </sheetView>
  </sheetViews>
  <sheetFormatPr defaultColWidth="9.109375" defaultRowHeight="21"/>
  <cols>
    <col min="1" max="1" width="73.33203125" style="400" customWidth="1"/>
    <col min="2" max="2" width="15.33203125" style="396" customWidth="1"/>
    <col min="3" max="3" width="19" style="396" customWidth="1"/>
    <col min="4" max="4" width="19.5546875" style="396" customWidth="1"/>
    <col min="5" max="5" width="19" style="396" customWidth="1"/>
    <col min="6" max="6" width="20" style="400" customWidth="1"/>
    <col min="7" max="9" width="20.5546875" style="400" customWidth="1"/>
    <col min="10" max="10" width="18.109375" style="400" hidden="1" customWidth="1"/>
    <col min="11" max="11" width="10" style="400" customWidth="1"/>
    <col min="12" max="12" width="12.88671875" style="400" customWidth="1"/>
    <col min="13" max="14" width="9.109375" style="400" customWidth="1"/>
    <col min="15" max="15" width="10.5546875" style="400" customWidth="1"/>
    <col min="16" max="16384" width="9.109375" style="400"/>
  </cols>
  <sheetData>
    <row r="1" spans="1:10" ht="18.75" customHeight="1">
      <c r="A1" s="499"/>
      <c r="B1" s="500"/>
      <c r="D1" s="400"/>
      <c r="E1" s="400"/>
      <c r="G1" s="472" t="s">
        <v>477</v>
      </c>
      <c r="H1" s="472"/>
      <c r="I1" s="472"/>
      <c r="J1" s="472"/>
    </row>
    <row r="2" spans="1:10">
      <c r="A2" s="500"/>
      <c r="B2" s="500"/>
      <c r="D2" s="400"/>
      <c r="E2" s="400"/>
      <c r="G2" s="472" t="s">
        <v>414</v>
      </c>
      <c r="H2" s="472"/>
      <c r="I2" s="472"/>
      <c r="J2" s="472"/>
    </row>
    <row r="3" spans="1:10" ht="29.25" customHeight="1">
      <c r="A3" s="500"/>
      <c r="B3" s="500"/>
      <c r="D3" s="189"/>
      <c r="E3" s="189"/>
      <c r="F3" s="189"/>
      <c r="G3" s="472" t="s">
        <v>415</v>
      </c>
      <c r="H3" s="472"/>
      <c r="I3" s="472"/>
      <c r="J3" s="472"/>
    </row>
    <row r="4" spans="1:10" ht="18.75" customHeight="1">
      <c r="A4" s="500"/>
      <c r="B4" s="500"/>
      <c r="D4" s="189"/>
      <c r="E4" s="189"/>
      <c r="F4" s="189"/>
      <c r="G4" s="468"/>
      <c r="H4" s="468"/>
      <c r="I4" s="468"/>
      <c r="J4" s="468"/>
    </row>
    <row r="5" spans="1:10" ht="18.75" hidden="1" customHeight="1">
      <c r="A5" s="500"/>
      <c r="B5" s="500"/>
      <c r="D5" s="189"/>
      <c r="E5" s="189"/>
      <c r="F5" s="189"/>
      <c r="G5" s="472"/>
      <c r="H5" s="472"/>
      <c r="I5" s="395"/>
      <c r="J5" s="395"/>
    </row>
    <row r="6" spans="1:10" ht="18.75" customHeight="1">
      <c r="A6" s="500"/>
      <c r="B6" s="500"/>
      <c r="D6" s="189"/>
      <c r="E6" s="189"/>
      <c r="F6" s="189"/>
      <c r="G6" s="395"/>
      <c r="H6" s="395"/>
      <c r="I6" s="395"/>
      <c r="J6" s="395"/>
    </row>
    <row r="7" spans="1:10" ht="18.75" customHeight="1">
      <c r="A7" s="396"/>
      <c r="D7" s="189"/>
      <c r="E7" s="189"/>
      <c r="F7" s="189"/>
      <c r="G7" s="395"/>
      <c r="H7" s="395"/>
      <c r="I7" s="395"/>
      <c r="J7" s="395"/>
    </row>
    <row r="8" spans="1:10" ht="18.75" customHeight="1">
      <c r="D8" s="189"/>
      <c r="E8" s="189"/>
      <c r="F8" s="189"/>
      <c r="G8" s="472"/>
      <c r="H8" s="472"/>
      <c r="I8" s="472"/>
      <c r="J8" s="472"/>
    </row>
    <row r="9" spans="1:10" ht="18.75" customHeight="1">
      <c r="A9" s="400" t="s">
        <v>321</v>
      </c>
      <c r="B9" s="189"/>
      <c r="F9" s="190"/>
      <c r="G9" s="504" t="s">
        <v>97</v>
      </c>
      <c r="H9" s="504"/>
      <c r="I9" s="504"/>
      <c r="J9" s="504"/>
    </row>
    <row r="10" spans="1:10" ht="24" customHeight="1">
      <c r="A10" s="400" t="s">
        <v>581</v>
      </c>
      <c r="B10" s="189"/>
      <c r="C10" s="399"/>
      <c r="D10" s="190"/>
      <c r="E10" s="190"/>
      <c r="F10" s="190"/>
      <c r="G10" s="501"/>
      <c r="H10" s="501"/>
      <c r="I10" s="501"/>
      <c r="J10" s="501"/>
    </row>
    <row r="11" spans="1:10" ht="7.5" customHeight="1">
      <c r="A11" s="502"/>
      <c r="B11" s="503"/>
      <c r="C11" s="191"/>
      <c r="D11" s="191"/>
      <c r="E11" s="191"/>
      <c r="F11" s="192"/>
      <c r="G11" s="402"/>
      <c r="H11" s="402"/>
      <c r="I11" s="402"/>
      <c r="J11" s="402"/>
    </row>
    <row r="12" spans="1:10" ht="20.25" customHeight="1">
      <c r="A12" s="395"/>
      <c r="D12" s="400"/>
      <c r="E12" s="400"/>
      <c r="F12" s="6"/>
      <c r="G12" s="501"/>
      <c r="H12" s="501"/>
      <c r="I12" s="501"/>
      <c r="J12" s="501"/>
    </row>
    <row r="13" spans="1:10" ht="19.5" customHeight="1">
      <c r="A13" s="410"/>
      <c r="B13" s="193" t="s">
        <v>582</v>
      </c>
      <c r="F13" s="189"/>
      <c r="G13" s="402"/>
      <c r="H13" s="402"/>
      <c r="I13" s="402"/>
      <c r="J13" s="402"/>
    </row>
    <row r="14" spans="1:10" ht="19.5" customHeight="1">
      <c r="A14" s="474" t="s">
        <v>289</v>
      </c>
      <c r="B14" s="474"/>
      <c r="F14" s="189"/>
      <c r="G14" s="501"/>
      <c r="H14" s="501"/>
      <c r="I14" s="501"/>
      <c r="J14" s="501"/>
    </row>
    <row r="15" spans="1:10" ht="19.5" customHeight="1">
      <c r="A15" s="498"/>
      <c r="B15" s="498"/>
      <c r="C15" s="399"/>
      <c r="D15" s="189"/>
      <c r="E15" s="189"/>
      <c r="F15" s="189"/>
      <c r="G15" s="501"/>
      <c r="H15" s="501"/>
      <c r="I15" s="501"/>
      <c r="J15" s="501"/>
    </row>
    <row r="16" spans="1:10" ht="16.5" customHeight="1">
      <c r="A16" s="474"/>
      <c r="B16" s="474"/>
      <c r="C16" s="399"/>
      <c r="D16" s="189"/>
      <c r="E16" s="189"/>
      <c r="F16" s="189"/>
      <c r="G16" s="395"/>
      <c r="H16" s="395"/>
      <c r="I16" s="395"/>
      <c r="J16" s="395"/>
    </row>
    <row r="17" spans="1:10" ht="16.5" customHeight="1">
      <c r="A17" s="396"/>
      <c r="C17" s="399"/>
      <c r="D17" s="189"/>
      <c r="E17" s="189"/>
      <c r="F17" s="189"/>
      <c r="G17" s="395"/>
      <c r="H17" s="395"/>
      <c r="I17" s="395"/>
      <c r="J17" s="395"/>
    </row>
    <row r="18" spans="1:10" ht="18.75" customHeight="1">
      <c r="A18" s="472" t="s">
        <v>322</v>
      </c>
      <c r="B18" s="472"/>
      <c r="D18" s="189"/>
      <c r="E18" s="189"/>
      <c r="F18" s="189"/>
      <c r="G18" s="472" t="s">
        <v>322</v>
      </c>
      <c r="H18" s="472"/>
      <c r="I18" s="472"/>
      <c r="J18" s="472"/>
    </row>
    <row r="19" spans="1:10" ht="15.75" customHeight="1">
      <c r="D19" s="189"/>
      <c r="E19" s="189"/>
      <c r="F19" s="189"/>
      <c r="I19" s="396"/>
      <c r="J19" s="396"/>
    </row>
    <row r="20" spans="1:10" ht="27.75" customHeight="1">
      <c r="A20" s="468" t="s">
        <v>558</v>
      </c>
      <c r="B20" s="468"/>
      <c r="C20" s="468"/>
      <c r="E20" s="396" t="s">
        <v>323</v>
      </c>
      <c r="F20" s="190"/>
      <c r="G20" s="473" t="s">
        <v>468</v>
      </c>
      <c r="H20" s="473"/>
      <c r="I20" s="473"/>
      <c r="J20" s="396"/>
    </row>
    <row r="21" spans="1:10">
      <c r="A21" s="476"/>
      <c r="B21" s="476"/>
      <c r="F21" s="6"/>
      <c r="G21" s="194"/>
      <c r="H21" s="194"/>
      <c r="I21" s="194"/>
    </row>
    <row r="22" spans="1:10" ht="21.75" customHeight="1">
      <c r="A22" s="469" t="s">
        <v>559</v>
      </c>
      <c r="B22" s="470"/>
      <c r="F22" s="6"/>
      <c r="G22" s="469" t="s">
        <v>583</v>
      </c>
      <c r="H22" s="469"/>
      <c r="I22" s="469"/>
      <c r="J22" s="469"/>
    </row>
    <row r="23" spans="1:10" ht="22.5" customHeight="1">
      <c r="A23" s="474" t="s">
        <v>289</v>
      </c>
      <c r="B23" s="474"/>
      <c r="F23" s="6"/>
      <c r="G23" s="475" t="s">
        <v>289</v>
      </c>
      <c r="H23" s="475"/>
      <c r="I23" s="475"/>
      <c r="J23" s="475"/>
    </row>
    <row r="24" spans="1:10" ht="15.75" customHeight="1">
      <c r="G24" s="468"/>
      <c r="H24" s="468"/>
      <c r="I24" s="468"/>
      <c r="J24" s="468"/>
    </row>
    <row r="25" spans="1:10">
      <c r="C25" s="195"/>
      <c r="D25" s="196"/>
      <c r="E25" s="196"/>
      <c r="F25" s="6"/>
      <c r="G25" s="468"/>
      <c r="H25" s="468"/>
      <c r="I25" s="468"/>
      <c r="J25" s="468"/>
    </row>
    <row r="26" spans="1:10" ht="18" hidden="1" customHeight="1">
      <c r="B26" s="197"/>
      <c r="C26" s="195"/>
      <c r="D26" s="196"/>
      <c r="E26" s="196"/>
      <c r="F26" s="6"/>
      <c r="G26" s="198"/>
      <c r="H26" s="198"/>
      <c r="I26" s="198"/>
      <c r="J26" s="198"/>
    </row>
    <row r="27" spans="1:10" ht="21" hidden="1" customHeight="1">
      <c r="B27" s="400"/>
      <c r="C27" s="399"/>
      <c r="D27" s="198"/>
      <c r="E27" s="198"/>
      <c r="F27" s="198"/>
    </row>
    <row r="28" spans="1:10" ht="2.25" customHeight="1">
      <c r="B28" s="400"/>
      <c r="C28" s="399"/>
      <c r="D28" s="198"/>
      <c r="E28" s="198"/>
      <c r="F28" s="198"/>
    </row>
    <row r="29" spans="1:10" ht="21" hidden="1" customHeight="1">
      <c r="B29" s="400"/>
      <c r="C29" s="399"/>
      <c r="D29" s="198"/>
      <c r="E29" s="198"/>
      <c r="F29" s="198"/>
      <c r="H29" s="428"/>
      <c r="I29" s="428"/>
      <c r="J29" s="428"/>
    </row>
    <row r="30" spans="1:10">
      <c r="B30" s="399"/>
      <c r="C30" s="399"/>
      <c r="D30" s="399"/>
      <c r="E30" s="399"/>
      <c r="F30" s="399"/>
      <c r="G30" s="396"/>
      <c r="H30" s="396"/>
      <c r="I30" s="396"/>
      <c r="J30" s="396"/>
    </row>
    <row r="31" spans="1:10" ht="25.5" customHeight="1">
      <c r="A31" s="199"/>
      <c r="B31" s="471"/>
      <c r="C31" s="471"/>
      <c r="D31" s="471"/>
      <c r="E31" s="471"/>
      <c r="F31" s="471"/>
      <c r="G31" s="200"/>
      <c r="H31" s="436">
        <v>2026</v>
      </c>
      <c r="I31" s="154" t="s">
        <v>101</v>
      </c>
      <c r="J31" s="398" t="s">
        <v>157</v>
      </c>
    </row>
    <row r="32" spans="1:10" ht="24.75" customHeight="1">
      <c r="A32" s="416" t="s">
        <v>13</v>
      </c>
      <c r="B32" s="471" t="s">
        <v>416</v>
      </c>
      <c r="C32" s="471"/>
      <c r="D32" s="471"/>
      <c r="E32" s="471"/>
      <c r="F32" s="471"/>
      <c r="G32" s="201"/>
      <c r="H32" s="202">
        <v>33810743</v>
      </c>
      <c r="I32" s="157" t="s">
        <v>100</v>
      </c>
      <c r="J32" s="398"/>
    </row>
    <row r="33" spans="1:10" ht="24.75" customHeight="1">
      <c r="A33" s="416" t="s">
        <v>14</v>
      </c>
      <c r="B33" s="471" t="s">
        <v>466</v>
      </c>
      <c r="C33" s="471"/>
      <c r="D33" s="471"/>
      <c r="E33" s="471"/>
      <c r="F33" s="471"/>
      <c r="G33" s="201"/>
      <c r="H33" s="202">
        <v>150</v>
      </c>
      <c r="I33" s="157" t="s">
        <v>99</v>
      </c>
      <c r="J33" s="398"/>
    </row>
    <row r="34" spans="1:10" ht="24.75" customHeight="1">
      <c r="A34" s="416" t="s">
        <v>19</v>
      </c>
      <c r="B34" s="471" t="s">
        <v>557</v>
      </c>
      <c r="C34" s="471"/>
      <c r="D34" s="471"/>
      <c r="E34" s="471"/>
      <c r="F34" s="471"/>
      <c r="G34" s="201"/>
      <c r="H34" s="202">
        <v>510136600</v>
      </c>
      <c r="I34" s="157" t="s">
        <v>98</v>
      </c>
      <c r="J34" s="398"/>
    </row>
    <row r="35" spans="1:10" ht="24.75" customHeight="1">
      <c r="A35" s="416" t="s">
        <v>516</v>
      </c>
      <c r="B35" s="471" t="s">
        <v>465</v>
      </c>
      <c r="C35" s="471"/>
      <c r="D35" s="471"/>
      <c r="E35" s="471"/>
      <c r="F35" s="471"/>
      <c r="G35" s="471"/>
      <c r="H35" s="202"/>
      <c r="I35" s="157" t="s">
        <v>9</v>
      </c>
      <c r="J35" s="398"/>
    </row>
    <row r="36" spans="1:10" ht="24.75" customHeight="1">
      <c r="A36" s="416" t="s">
        <v>16</v>
      </c>
      <c r="B36" s="471" t="s">
        <v>469</v>
      </c>
      <c r="C36" s="471"/>
      <c r="D36" s="471"/>
      <c r="E36" s="471"/>
      <c r="F36" s="471"/>
      <c r="G36" s="201"/>
      <c r="H36" s="202"/>
      <c r="I36" s="157" t="s">
        <v>8</v>
      </c>
      <c r="J36" s="398"/>
    </row>
    <row r="37" spans="1:10" ht="24.75" customHeight="1">
      <c r="A37" s="416" t="s">
        <v>15</v>
      </c>
      <c r="B37" s="471" t="s">
        <v>467</v>
      </c>
      <c r="C37" s="471"/>
      <c r="D37" s="471"/>
      <c r="E37" s="471"/>
      <c r="F37" s="471"/>
      <c r="G37" s="201"/>
      <c r="H37" s="203" t="s">
        <v>419</v>
      </c>
      <c r="I37" s="157" t="s">
        <v>10</v>
      </c>
      <c r="J37" s="398"/>
    </row>
    <row r="38" spans="1:10" ht="24.75" customHeight="1">
      <c r="A38" s="416" t="s">
        <v>534</v>
      </c>
      <c r="B38" s="471" t="s">
        <v>395</v>
      </c>
      <c r="C38" s="471"/>
      <c r="D38" s="471"/>
      <c r="E38" s="471"/>
      <c r="F38" s="496" t="s">
        <v>128</v>
      </c>
      <c r="G38" s="496"/>
      <c r="H38" s="497"/>
      <c r="I38" s="157" t="s">
        <v>30</v>
      </c>
      <c r="J38" s="398"/>
    </row>
    <row r="39" spans="1:10" ht="24.75" customHeight="1">
      <c r="A39" s="416" t="s">
        <v>20</v>
      </c>
      <c r="B39" s="471" t="s">
        <v>417</v>
      </c>
      <c r="C39" s="471"/>
      <c r="D39" s="471"/>
      <c r="E39" s="471"/>
      <c r="F39" s="471"/>
      <c r="G39" s="478" t="s">
        <v>129</v>
      </c>
      <c r="H39" s="479"/>
      <c r="I39" s="157"/>
      <c r="J39" s="398"/>
    </row>
    <row r="40" spans="1:10" ht="24.75" customHeight="1">
      <c r="A40" s="416" t="s">
        <v>85</v>
      </c>
      <c r="B40" s="495">
        <f>'6.1. Інша інфо_1'!J10</f>
        <v>209</v>
      </c>
      <c r="C40" s="495"/>
      <c r="D40" s="495"/>
      <c r="E40" s="495"/>
      <c r="F40" s="495"/>
      <c r="G40" s="201"/>
      <c r="H40" s="202"/>
      <c r="I40" s="157"/>
      <c r="J40" s="398"/>
    </row>
    <row r="41" spans="1:10" ht="24.75" customHeight="1">
      <c r="A41" s="416" t="s">
        <v>320</v>
      </c>
      <c r="B41" s="471" t="s">
        <v>543</v>
      </c>
      <c r="C41" s="471"/>
      <c r="D41" s="471"/>
      <c r="E41" s="471"/>
      <c r="F41" s="471"/>
      <c r="G41" s="201"/>
      <c r="H41" s="202"/>
      <c r="I41" s="157"/>
      <c r="J41" s="398"/>
    </row>
    <row r="42" spans="1:10" ht="24.75" customHeight="1">
      <c r="A42" s="416" t="s">
        <v>11</v>
      </c>
      <c r="B42" s="471">
        <v>578855</v>
      </c>
      <c r="C42" s="471"/>
      <c r="D42" s="471"/>
      <c r="E42" s="471"/>
      <c r="F42" s="471"/>
      <c r="G42" s="201"/>
      <c r="H42" s="202"/>
      <c r="I42" s="157"/>
      <c r="J42" s="398"/>
    </row>
    <row r="43" spans="1:10" ht="24.75" customHeight="1">
      <c r="A43" s="416" t="s">
        <v>12</v>
      </c>
      <c r="B43" s="471" t="s">
        <v>418</v>
      </c>
      <c r="C43" s="471"/>
      <c r="D43" s="471"/>
      <c r="E43" s="471"/>
      <c r="F43" s="471"/>
      <c r="G43" s="201"/>
      <c r="H43" s="202"/>
      <c r="I43" s="157"/>
      <c r="J43" s="398"/>
    </row>
    <row r="44" spans="1:10" ht="48" customHeight="1">
      <c r="A44" s="494" t="s">
        <v>655</v>
      </c>
      <c r="B44" s="493"/>
      <c r="C44" s="493"/>
      <c r="D44" s="493"/>
      <c r="E44" s="493"/>
      <c r="F44" s="493"/>
      <c r="G44" s="493"/>
      <c r="H44" s="493"/>
      <c r="I44" s="493"/>
      <c r="J44" s="493"/>
    </row>
    <row r="45" spans="1:10" ht="30" customHeight="1">
      <c r="A45" s="493" t="s">
        <v>136</v>
      </c>
      <c r="B45" s="493"/>
      <c r="C45" s="493"/>
      <c r="D45" s="493"/>
      <c r="E45" s="493"/>
      <c r="F45" s="493"/>
      <c r="G45" s="493"/>
      <c r="H45" s="493"/>
      <c r="I45" s="493"/>
      <c r="J45" s="493"/>
    </row>
    <row r="46" spans="1:10" ht="23.25" customHeight="1">
      <c r="B46" s="190"/>
      <c r="C46" s="399"/>
      <c r="D46" s="190"/>
      <c r="E46" s="190"/>
      <c r="F46" s="190"/>
      <c r="G46" s="190"/>
      <c r="H46" s="190"/>
      <c r="I46" s="204" t="s">
        <v>356</v>
      </c>
      <c r="J46" s="190" t="s">
        <v>325</v>
      </c>
    </row>
    <row r="47" spans="1:10" ht="41.25" customHeight="1">
      <c r="A47" s="490" t="s">
        <v>163</v>
      </c>
      <c r="B47" s="488" t="s">
        <v>17</v>
      </c>
      <c r="C47" s="483" t="s">
        <v>650</v>
      </c>
      <c r="D47" s="483" t="s">
        <v>651</v>
      </c>
      <c r="E47" s="481" t="s">
        <v>652</v>
      </c>
      <c r="F47" s="488" t="s">
        <v>653</v>
      </c>
      <c r="G47" s="477" t="s">
        <v>164</v>
      </c>
      <c r="H47" s="478"/>
      <c r="I47" s="478"/>
      <c r="J47" s="479"/>
    </row>
    <row r="48" spans="1:10" ht="77.25" customHeight="1">
      <c r="A48" s="490"/>
      <c r="B48" s="488"/>
      <c r="C48" s="484"/>
      <c r="D48" s="484"/>
      <c r="E48" s="482"/>
      <c r="F48" s="488"/>
      <c r="G48" s="397" t="s">
        <v>585</v>
      </c>
      <c r="H48" s="397" t="s">
        <v>641</v>
      </c>
      <c r="I48" s="488" t="s">
        <v>654</v>
      </c>
      <c r="J48" s="489"/>
    </row>
    <row r="49" spans="1:21" ht="21.75" customHeight="1">
      <c r="A49" s="398">
        <v>1</v>
      </c>
      <c r="B49" s="397">
        <v>2</v>
      </c>
      <c r="C49" s="397">
        <v>3</v>
      </c>
      <c r="D49" s="397">
        <v>4</v>
      </c>
      <c r="E49" s="397">
        <v>5</v>
      </c>
      <c r="F49" s="397">
        <v>6</v>
      </c>
      <c r="G49" s="397">
        <v>7</v>
      </c>
      <c r="H49" s="397">
        <v>8</v>
      </c>
      <c r="I49" s="488">
        <v>9</v>
      </c>
      <c r="J49" s="489"/>
    </row>
    <row r="50" spans="1:21" ht="28.5" customHeight="1">
      <c r="A50" s="491" t="s">
        <v>79</v>
      </c>
      <c r="B50" s="491"/>
      <c r="C50" s="491"/>
      <c r="D50" s="491"/>
      <c r="E50" s="491"/>
      <c r="F50" s="491"/>
      <c r="G50" s="491"/>
      <c r="H50" s="491"/>
      <c r="I50" s="491"/>
      <c r="J50" s="491"/>
    </row>
    <row r="51" spans="1:21" ht="45" customHeight="1">
      <c r="A51" s="205" t="s">
        <v>137</v>
      </c>
      <c r="B51" s="398">
        <v>1000</v>
      </c>
      <c r="C51" s="116">
        <f>'I. Фін результат'!C8</f>
        <v>149171</v>
      </c>
      <c r="D51" s="116">
        <f>'I. Фін результат'!D8</f>
        <v>149212</v>
      </c>
      <c r="E51" s="116">
        <f>'I. Фін результат'!E8</f>
        <v>152130</v>
      </c>
      <c r="F51" s="116">
        <f>'I. Фін результат'!F8</f>
        <v>155328</v>
      </c>
      <c r="G51" s="116">
        <f>ROUND(F51*109.4%,0)</f>
        <v>169929</v>
      </c>
      <c r="H51" s="116">
        <f>ROUND(G51*107.5%,0)</f>
        <v>182674</v>
      </c>
      <c r="I51" s="116">
        <f>ROUND(H51*107.5%,0)</f>
        <v>196375</v>
      </c>
      <c r="J51" s="337"/>
      <c r="M51" s="211"/>
      <c r="N51" s="211"/>
      <c r="O51" s="211"/>
      <c r="P51" s="211"/>
      <c r="Q51" s="211"/>
      <c r="R51" s="211"/>
      <c r="S51" s="211"/>
      <c r="T51" s="211"/>
      <c r="U51" s="211"/>
    </row>
    <row r="52" spans="1:21" ht="47.25" customHeight="1">
      <c r="A52" s="205" t="s">
        <v>118</v>
      </c>
      <c r="B52" s="398">
        <v>1010</v>
      </c>
      <c r="C52" s="116">
        <f>'I. Фін результат'!C9</f>
        <v>-126221</v>
      </c>
      <c r="D52" s="116">
        <f>'I. Фін результат'!D9</f>
        <v>-126388</v>
      </c>
      <c r="E52" s="116">
        <f>'I. Фін результат'!E9</f>
        <v>-130061</v>
      </c>
      <c r="F52" s="116">
        <f>'I. Фін результат'!F9</f>
        <v>-137853</v>
      </c>
      <c r="G52" s="116">
        <f>ROUND(F52*109.4%,0)</f>
        <v>-150811</v>
      </c>
      <c r="H52" s="116">
        <f>ROUND(G52*107.5%,0)</f>
        <v>-162122</v>
      </c>
      <c r="I52" s="116">
        <f>ROUND(H52*107.5%,0)</f>
        <v>-174281</v>
      </c>
      <c r="J52" s="116"/>
      <c r="K52" s="212" t="s">
        <v>717</v>
      </c>
      <c r="M52" s="211"/>
      <c r="N52" s="211"/>
      <c r="O52" s="211"/>
      <c r="P52" s="211"/>
      <c r="Q52" s="211"/>
      <c r="R52" s="211"/>
      <c r="S52" s="211"/>
    </row>
    <row r="53" spans="1:21" ht="28.5" customHeight="1">
      <c r="A53" s="206" t="s">
        <v>176</v>
      </c>
      <c r="B53" s="398">
        <v>1020</v>
      </c>
      <c r="C53" s="117">
        <f>SUM(C51:C52)</f>
        <v>22950</v>
      </c>
      <c r="D53" s="117">
        <f t="shared" ref="D53:F53" si="0">SUM(D51:D52)</f>
        <v>22824</v>
      </c>
      <c r="E53" s="117">
        <f t="shared" si="0"/>
        <v>22069</v>
      </c>
      <c r="F53" s="117">
        <f t="shared" si="0"/>
        <v>17475</v>
      </c>
      <c r="G53" s="117">
        <f>SUM(G51:G52)</f>
        <v>19118</v>
      </c>
      <c r="H53" s="117">
        <f t="shared" ref="H53" si="1">SUM(H51:H52)</f>
        <v>20552</v>
      </c>
      <c r="I53" s="117">
        <f t="shared" ref="I53" si="2">SUM(I51:I52)</f>
        <v>22094</v>
      </c>
      <c r="J53" s="117">
        <f>SUM(J51:J52)</f>
        <v>0</v>
      </c>
      <c r="M53" s="211"/>
      <c r="N53" s="211"/>
      <c r="O53" s="211"/>
      <c r="P53" s="211"/>
      <c r="Q53" s="211"/>
      <c r="R53" s="211"/>
      <c r="S53" s="211"/>
    </row>
    <row r="54" spans="1:21" ht="27.75" customHeight="1">
      <c r="A54" s="205" t="s">
        <v>103</v>
      </c>
      <c r="B54" s="398">
        <v>1030</v>
      </c>
      <c r="C54" s="116">
        <f>'I. Фін результат'!C19</f>
        <v>-14652</v>
      </c>
      <c r="D54" s="116">
        <f>'I. Фін результат'!D19</f>
        <v>-15786</v>
      </c>
      <c r="E54" s="116">
        <f>'I. Фін результат'!E19</f>
        <v>-16074</v>
      </c>
      <c r="F54" s="116">
        <f>'I. Фін результат'!F19</f>
        <v>-17105</v>
      </c>
      <c r="G54" s="116">
        <f>ROUND(F54*109.4%,0)</f>
        <v>-18713</v>
      </c>
      <c r="H54" s="116">
        <f>ROUND(G54*107.5%,0)</f>
        <v>-20116</v>
      </c>
      <c r="I54" s="116">
        <f>ROUND(H54*107.5%,0)</f>
        <v>-21625</v>
      </c>
      <c r="J54" s="337"/>
      <c r="M54" s="211"/>
      <c r="N54" s="211"/>
      <c r="O54" s="211"/>
      <c r="P54" s="211"/>
      <c r="Q54" s="211"/>
      <c r="R54" s="211"/>
      <c r="S54" s="211"/>
    </row>
    <row r="55" spans="1:21" ht="27.75" customHeight="1">
      <c r="A55" s="205" t="s">
        <v>102</v>
      </c>
      <c r="B55" s="398">
        <v>1060</v>
      </c>
      <c r="C55" s="116">
        <f>'I. Фін результат'!C40</f>
        <v>0</v>
      </c>
      <c r="D55" s="116">
        <f>'I. Фін результат'!D40</f>
        <v>0</v>
      </c>
      <c r="E55" s="116">
        <f>'I. Фін результат'!E40</f>
        <v>0</v>
      </c>
      <c r="F55" s="116">
        <f>'I. Фін результат'!F40</f>
        <v>0</v>
      </c>
      <c r="G55" s="116">
        <f t="shared" ref="G55:I55" si="3">ROUND(F55*1,0)</f>
        <v>0</v>
      </c>
      <c r="H55" s="116">
        <f t="shared" si="3"/>
        <v>0</v>
      </c>
      <c r="I55" s="116">
        <f t="shared" si="3"/>
        <v>0</v>
      </c>
      <c r="J55" s="116"/>
      <c r="M55" s="211"/>
      <c r="N55" s="211"/>
      <c r="O55" s="211"/>
      <c r="P55" s="211"/>
      <c r="Q55" s="211"/>
      <c r="R55" s="211"/>
      <c r="S55" s="211"/>
    </row>
    <row r="56" spans="1:21" ht="27.75" customHeight="1">
      <c r="A56" s="205" t="s">
        <v>196</v>
      </c>
      <c r="B56" s="398">
        <v>1070</v>
      </c>
      <c r="C56" s="116">
        <f>'I. Фін результат'!C48</f>
        <v>827</v>
      </c>
      <c r="D56" s="116">
        <f>'I. Фін результат'!D48</f>
        <v>0</v>
      </c>
      <c r="E56" s="116">
        <f>'I. Фін результат'!E48</f>
        <v>1043</v>
      </c>
      <c r="F56" s="116">
        <f>'I. Фін результат'!F48</f>
        <v>0</v>
      </c>
      <c r="G56" s="116">
        <f t="shared" ref="G56:I56" si="4">ROUND(F56*1,0)</f>
        <v>0</v>
      </c>
      <c r="H56" s="116">
        <f t="shared" si="4"/>
        <v>0</v>
      </c>
      <c r="I56" s="116">
        <f t="shared" si="4"/>
        <v>0</v>
      </c>
      <c r="J56" s="116"/>
      <c r="M56" s="211"/>
      <c r="N56" s="211"/>
      <c r="O56" s="211"/>
      <c r="P56" s="211"/>
      <c r="Q56" s="211"/>
      <c r="R56" s="211"/>
      <c r="S56" s="211"/>
    </row>
    <row r="57" spans="1:21" ht="27.75" customHeight="1">
      <c r="A57" s="205" t="s">
        <v>26</v>
      </c>
      <c r="B57" s="398">
        <v>1080</v>
      </c>
      <c r="C57" s="116">
        <f>'I. Фін результат'!C52</f>
        <v>-125</v>
      </c>
      <c r="D57" s="116">
        <f>'I. Фін результат'!D52</f>
        <v>-36</v>
      </c>
      <c r="E57" s="116">
        <f>'I. Фін результат'!E52</f>
        <v>-36</v>
      </c>
      <c r="F57" s="116">
        <f>'I. Фін результат'!F52</f>
        <v>0</v>
      </c>
      <c r="G57" s="116">
        <f t="shared" ref="G57:I57" si="5">ROUND(F57*1,0)</f>
        <v>0</v>
      </c>
      <c r="H57" s="116">
        <f t="shared" si="5"/>
        <v>0</v>
      </c>
      <c r="I57" s="116">
        <f t="shared" si="5"/>
        <v>0</v>
      </c>
      <c r="J57" s="116"/>
      <c r="M57" s="211"/>
      <c r="N57" s="211"/>
      <c r="O57" s="211"/>
      <c r="P57" s="211"/>
      <c r="Q57" s="211"/>
      <c r="R57" s="211"/>
      <c r="S57" s="211"/>
    </row>
    <row r="58" spans="1:21" ht="28.5" customHeight="1">
      <c r="A58" s="206" t="s">
        <v>4</v>
      </c>
      <c r="B58" s="398">
        <v>1100</v>
      </c>
      <c r="C58" s="117">
        <f t="shared" ref="C58:I58" si="6">SUM(C53:C57)</f>
        <v>9000</v>
      </c>
      <c r="D58" s="117">
        <f t="shared" si="6"/>
        <v>7002</v>
      </c>
      <c r="E58" s="117">
        <f t="shared" si="6"/>
        <v>7002</v>
      </c>
      <c r="F58" s="117">
        <f t="shared" si="6"/>
        <v>370</v>
      </c>
      <c r="G58" s="117">
        <f t="shared" si="6"/>
        <v>405</v>
      </c>
      <c r="H58" s="117">
        <f t="shared" si="6"/>
        <v>436</v>
      </c>
      <c r="I58" s="117">
        <f t="shared" si="6"/>
        <v>469</v>
      </c>
      <c r="J58" s="117">
        <f t="shared" ref="J58" si="7">SUM(J53:J57)</f>
        <v>0</v>
      </c>
      <c r="M58" s="211"/>
      <c r="N58" s="211"/>
      <c r="O58" s="211"/>
      <c r="P58" s="211"/>
      <c r="Q58" s="211"/>
      <c r="R58" s="211"/>
      <c r="S58" s="211"/>
    </row>
    <row r="59" spans="1:21" ht="28.5" customHeight="1">
      <c r="A59" s="206" t="s">
        <v>104</v>
      </c>
      <c r="B59" s="398">
        <v>1310</v>
      </c>
      <c r="C59" s="117">
        <f>'I. Фін результат'!C88</f>
        <v>17657</v>
      </c>
      <c r="D59" s="117">
        <f>'I. Фін результат'!D88</f>
        <v>15194</v>
      </c>
      <c r="E59" s="117">
        <f>'I. Фін результат'!E88</f>
        <v>17090</v>
      </c>
      <c r="F59" s="117">
        <f>'I. Фін результат'!F88</f>
        <v>9522</v>
      </c>
      <c r="G59" s="117">
        <f>ROUND(F59*109.4%,0)</f>
        <v>10417</v>
      </c>
      <c r="H59" s="117">
        <f>ROUND(G59*107.5%,0)</f>
        <v>11198</v>
      </c>
      <c r="I59" s="117">
        <f>ROUND(H59*107.5%,0)</f>
        <v>12038</v>
      </c>
      <c r="J59" s="435"/>
      <c r="M59" s="211"/>
      <c r="N59" s="211"/>
      <c r="O59" s="211"/>
      <c r="P59" s="211"/>
      <c r="Q59" s="211"/>
      <c r="R59" s="211"/>
      <c r="S59" s="211"/>
    </row>
    <row r="60" spans="1:21" ht="28.5" customHeight="1">
      <c r="A60" s="206" t="s">
        <v>150</v>
      </c>
      <c r="B60" s="398">
        <f>' V. Коефіцієнти'!B9</f>
        <v>5010</v>
      </c>
      <c r="C60" s="423">
        <f>(C59/C51)*100</f>
        <v>11.8</v>
      </c>
      <c r="D60" s="423">
        <f t="shared" ref="D60:I60" si="8">(D59/D51)*100</f>
        <v>10.199999999999999</v>
      </c>
      <c r="E60" s="423">
        <f t="shared" si="8"/>
        <v>11.2</v>
      </c>
      <c r="F60" s="423">
        <f t="shared" si="8"/>
        <v>6.1</v>
      </c>
      <c r="G60" s="423">
        <f t="shared" si="8"/>
        <v>6.1</v>
      </c>
      <c r="H60" s="423">
        <f t="shared" si="8"/>
        <v>6.1</v>
      </c>
      <c r="I60" s="423">
        <f t="shared" si="8"/>
        <v>6.1</v>
      </c>
      <c r="J60" s="117" t="e">
        <f>(J59/J51)*100</f>
        <v>#DIV/0!</v>
      </c>
      <c r="M60" s="211"/>
      <c r="N60" s="211"/>
      <c r="O60" s="211"/>
      <c r="P60" s="211"/>
      <c r="Q60" s="211"/>
      <c r="R60" s="211"/>
      <c r="S60" s="211"/>
    </row>
    <row r="61" spans="1:21" ht="27.75" customHeight="1">
      <c r="A61" s="205" t="s">
        <v>197</v>
      </c>
      <c r="B61" s="398">
        <v>1110</v>
      </c>
      <c r="C61" s="116">
        <f>'I. Фін результат'!C60</f>
        <v>0</v>
      </c>
      <c r="D61" s="116">
        <f>'I. Фін результат'!D60</f>
        <v>0</v>
      </c>
      <c r="E61" s="116">
        <f>'I. Фін результат'!E60</f>
        <v>0</v>
      </c>
      <c r="F61" s="116">
        <f>'I. Фін результат'!F60</f>
        <v>0</v>
      </c>
      <c r="G61" s="116">
        <f t="shared" ref="G61:I61" si="9">ROUND(F61*1,0)</f>
        <v>0</v>
      </c>
      <c r="H61" s="116">
        <f t="shared" si="9"/>
        <v>0</v>
      </c>
      <c r="I61" s="116">
        <f t="shared" si="9"/>
        <v>0</v>
      </c>
      <c r="J61" s="116"/>
      <c r="M61" s="211"/>
      <c r="N61" s="211"/>
      <c r="O61" s="211"/>
      <c r="P61" s="211"/>
      <c r="Q61" s="211"/>
      <c r="R61" s="211"/>
      <c r="S61" s="211"/>
    </row>
    <row r="62" spans="1:21" ht="27.75" customHeight="1">
      <c r="A62" s="205" t="s">
        <v>198</v>
      </c>
      <c r="B62" s="398">
        <v>1120</v>
      </c>
      <c r="C62" s="116" t="str">
        <f>'I. Фін результат'!C61</f>
        <v>(    )</v>
      </c>
      <c r="D62" s="116" t="str">
        <f>'I. Фін результат'!D61</f>
        <v>(    )</v>
      </c>
      <c r="E62" s="116" t="str">
        <f>'I. Фін результат'!E61</f>
        <v>(    )</v>
      </c>
      <c r="F62" s="116">
        <f>'I. Фін результат'!F61</f>
        <v>0</v>
      </c>
      <c r="G62" s="116">
        <f t="shared" ref="G62:I62" si="10">ROUND(F62*1,0)</f>
        <v>0</v>
      </c>
      <c r="H62" s="116">
        <f t="shared" si="10"/>
        <v>0</v>
      </c>
      <c r="I62" s="116">
        <f t="shared" si="10"/>
        <v>0</v>
      </c>
      <c r="J62" s="116"/>
      <c r="M62" s="211"/>
      <c r="N62" s="211"/>
      <c r="O62" s="211"/>
      <c r="P62" s="211"/>
      <c r="Q62" s="211"/>
      <c r="R62" s="211"/>
      <c r="S62" s="211"/>
    </row>
    <row r="63" spans="1:21" ht="27.75" customHeight="1">
      <c r="A63" s="205" t="s">
        <v>199</v>
      </c>
      <c r="B63" s="398">
        <v>1130</v>
      </c>
      <c r="C63" s="116">
        <f>'I. Фін результат'!C62</f>
        <v>0</v>
      </c>
      <c r="D63" s="116">
        <f>'I. Фін результат'!D62</f>
        <v>0</v>
      </c>
      <c r="E63" s="116">
        <f>'I. Фін результат'!E62</f>
        <v>0</v>
      </c>
      <c r="F63" s="116">
        <f>'I. Фін результат'!F62</f>
        <v>0</v>
      </c>
      <c r="G63" s="116">
        <f t="shared" ref="G63:I65" si="11">ROUND(F63*1,0)</f>
        <v>0</v>
      </c>
      <c r="H63" s="116">
        <f t="shared" si="11"/>
        <v>0</v>
      </c>
      <c r="I63" s="116">
        <f t="shared" si="11"/>
        <v>0</v>
      </c>
      <c r="J63" s="116"/>
      <c r="M63" s="211"/>
      <c r="N63" s="211"/>
      <c r="O63" s="211"/>
      <c r="P63" s="211"/>
      <c r="Q63" s="211"/>
      <c r="R63" s="211"/>
      <c r="S63" s="211"/>
    </row>
    <row r="64" spans="1:21" ht="27.75" customHeight="1">
      <c r="A64" s="205" t="s">
        <v>200</v>
      </c>
      <c r="B64" s="398">
        <v>1140</v>
      </c>
      <c r="C64" s="116">
        <f>'I. Фін результат'!C63</f>
        <v>-749</v>
      </c>
      <c r="D64" s="116">
        <f>'I. Фін результат'!D63</f>
        <v>-467</v>
      </c>
      <c r="E64" s="116">
        <f>'I. Фін результат'!E63</f>
        <v>-467</v>
      </c>
      <c r="F64" s="116">
        <f>'I. Фін результат'!F63</f>
        <v>-309</v>
      </c>
      <c r="G64" s="116">
        <f>ROUND((-кредити!Y175-952.06)/1000,0)</f>
        <v>-161</v>
      </c>
      <c r="H64" s="116">
        <f>-кредити!Y192/1000</f>
        <v>-33</v>
      </c>
      <c r="I64" s="116"/>
      <c r="J64" s="116"/>
      <c r="M64" s="211"/>
      <c r="N64" s="211"/>
      <c r="O64" s="211"/>
      <c r="P64" s="211"/>
      <c r="Q64" s="211"/>
      <c r="R64" s="211"/>
      <c r="S64" s="211"/>
    </row>
    <row r="65" spans="1:19" ht="27.75" customHeight="1">
      <c r="A65" s="205" t="s">
        <v>202</v>
      </c>
      <c r="B65" s="398">
        <v>1150</v>
      </c>
      <c r="C65" s="116">
        <f>'I. Фін результат'!C64</f>
        <v>538</v>
      </c>
      <c r="D65" s="116">
        <f>'I. Фін результат'!D64</f>
        <v>540</v>
      </c>
      <c r="E65" s="116">
        <f>'I. Фін результат'!E64</f>
        <v>540</v>
      </c>
      <c r="F65" s="116">
        <f>'I. Фін результат'!F64</f>
        <v>540</v>
      </c>
      <c r="G65" s="116">
        <f t="shared" si="11"/>
        <v>540</v>
      </c>
      <c r="H65" s="116">
        <f t="shared" si="11"/>
        <v>540</v>
      </c>
      <c r="I65" s="116">
        <f t="shared" si="11"/>
        <v>540</v>
      </c>
      <c r="J65" s="116"/>
      <c r="M65" s="211"/>
      <c r="N65" s="211"/>
      <c r="O65" s="211"/>
      <c r="P65" s="211"/>
      <c r="Q65" s="211"/>
      <c r="R65" s="211"/>
      <c r="S65" s="211"/>
    </row>
    <row r="66" spans="1:19" ht="27.75" customHeight="1">
      <c r="A66" s="205" t="s">
        <v>203</v>
      </c>
      <c r="B66" s="398">
        <v>1160</v>
      </c>
      <c r="C66" s="116">
        <f>'I. Фін результат'!C67</f>
        <v>-392</v>
      </c>
      <c r="D66" s="116">
        <f>'I. Фін результат'!D67</f>
        <v>-48</v>
      </c>
      <c r="E66" s="116">
        <f>'I. Фін результат'!E67</f>
        <v>-48</v>
      </c>
      <c r="F66" s="116">
        <f>'I. Фін результат'!F67</f>
        <v>-52</v>
      </c>
      <c r="G66" s="116">
        <f>ROUND(F66*109.4%,0)</f>
        <v>-57</v>
      </c>
      <c r="H66" s="116">
        <f>ROUND(G66*107.5%,0)</f>
        <v>-61</v>
      </c>
      <c r="I66" s="116">
        <f>ROUND(H66*107.5%,0)</f>
        <v>-66</v>
      </c>
      <c r="J66" s="116"/>
      <c r="M66" s="211"/>
      <c r="N66" s="211"/>
      <c r="O66" s="211"/>
      <c r="P66" s="211"/>
      <c r="Q66" s="211"/>
      <c r="R66" s="211"/>
      <c r="S66" s="211"/>
    </row>
    <row r="67" spans="1:19" ht="28.5" customHeight="1">
      <c r="A67" s="206" t="s">
        <v>78</v>
      </c>
      <c r="B67" s="398">
        <v>1170</v>
      </c>
      <c r="C67" s="117">
        <f t="shared" ref="C67:I67" si="12">SUM(C58, C61:C66)</f>
        <v>8397</v>
      </c>
      <c r="D67" s="117">
        <f t="shared" si="12"/>
        <v>7027</v>
      </c>
      <c r="E67" s="117">
        <f t="shared" si="12"/>
        <v>7027</v>
      </c>
      <c r="F67" s="117">
        <f t="shared" si="12"/>
        <v>549</v>
      </c>
      <c r="G67" s="117">
        <f t="shared" si="12"/>
        <v>727</v>
      </c>
      <c r="H67" s="117">
        <f t="shared" si="12"/>
        <v>882</v>
      </c>
      <c r="I67" s="117">
        <f t="shared" si="12"/>
        <v>943</v>
      </c>
      <c r="J67" s="117">
        <f t="shared" ref="J67" si="13">SUM(J58, J61:J66)</f>
        <v>0</v>
      </c>
      <c r="M67" s="211"/>
      <c r="N67" s="211"/>
      <c r="O67" s="211"/>
      <c r="P67" s="211"/>
      <c r="Q67" s="211"/>
      <c r="R67" s="211"/>
      <c r="S67" s="211"/>
    </row>
    <row r="68" spans="1:19" ht="27.75" customHeight="1">
      <c r="A68" s="205" t="s">
        <v>204</v>
      </c>
      <c r="B68" s="398">
        <v>1180</v>
      </c>
      <c r="C68" s="116">
        <f>'I. Фін результат'!C71</f>
        <v>-1516</v>
      </c>
      <c r="D68" s="116">
        <f>'I. Фін результат'!D71</f>
        <v>-1265</v>
      </c>
      <c r="E68" s="116">
        <f>'I. Фін результат'!E71</f>
        <v>-1265</v>
      </c>
      <c r="F68" s="116">
        <f>'I. Фін результат'!F71</f>
        <v>-99</v>
      </c>
      <c r="G68" s="116">
        <f>ROUND(-G67*0.18,0)</f>
        <v>-131</v>
      </c>
      <c r="H68" s="116">
        <f t="shared" ref="H68:I68" si="14">ROUND(-H67*0.18,0)</f>
        <v>-159</v>
      </c>
      <c r="I68" s="116">
        <f t="shared" si="14"/>
        <v>-170</v>
      </c>
      <c r="J68" s="116"/>
      <c r="M68" s="211"/>
      <c r="N68" s="211"/>
      <c r="O68" s="211"/>
      <c r="P68" s="211"/>
      <c r="Q68" s="211"/>
      <c r="R68" s="211"/>
      <c r="S68" s="211"/>
    </row>
    <row r="69" spans="1:19" ht="27.75" customHeight="1">
      <c r="A69" s="205" t="s">
        <v>205</v>
      </c>
      <c r="B69" s="398">
        <v>1181</v>
      </c>
      <c r="C69" s="116">
        <f>'I. Фін результат'!C72</f>
        <v>0</v>
      </c>
      <c r="D69" s="116">
        <f>'I. Фін результат'!D72</f>
        <v>0</v>
      </c>
      <c r="E69" s="116">
        <f>'I. Фін результат'!E72</f>
        <v>0</v>
      </c>
      <c r="F69" s="116">
        <f>'I. Фін результат'!F72</f>
        <v>0</v>
      </c>
      <c r="G69" s="116">
        <f t="shared" ref="G69:I69" si="15">ROUND(F69*1,0)</f>
        <v>0</v>
      </c>
      <c r="H69" s="116">
        <f t="shared" si="15"/>
        <v>0</v>
      </c>
      <c r="I69" s="116">
        <f t="shared" si="15"/>
        <v>0</v>
      </c>
      <c r="J69" s="116"/>
      <c r="M69" s="211"/>
      <c r="N69" s="211"/>
      <c r="O69" s="211"/>
      <c r="P69" s="211"/>
      <c r="Q69" s="211"/>
      <c r="R69" s="211"/>
      <c r="S69" s="211"/>
    </row>
    <row r="70" spans="1:19" ht="42.75" customHeight="1">
      <c r="A70" s="205" t="s">
        <v>206</v>
      </c>
      <c r="B70" s="398">
        <v>1190</v>
      </c>
      <c r="C70" s="116">
        <f>'I. Фін результат'!C73</f>
        <v>0</v>
      </c>
      <c r="D70" s="116">
        <f>'I. Фін результат'!D73</f>
        <v>0</v>
      </c>
      <c r="E70" s="116">
        <f>'I. Фін результат'!E73</f>
        <v>0</v>
      </c>
      <c r="F70" s="116">
        <f>'I. Фін результат'!F73</f>
        <v>0</v>
      </c>
      <c r="G70" s="116">
        <f t="shared" ref="G70:I70" si="16">ROUND(F70*1,0)</f>
        <v>0</v>
      </c>
      <c r="H70" s="116">
        <f t="shared" si="16"/>
        <v>0</v>
      </c>
      <c r="I70" s="116">
        <f t="shared" si="16"/>
        <v>0</v>
      </c>
      <c r="J70" s="116"/>
      <c r="M70" s="211"/>
      <c r="N70" s="211"/>
      <c r="O70" s="211"/>
      <c r="P70" s="211"/>
      <c r="Q70" s="211"/>
      <c r="R70" s="211"/>
      <c r="S70" s="211"/>
    </row>
    <row r="71" spans="1:19" ht="27.75" customHeight="1">
      <c r="A71" s="205" t="s">
        <v>207</v>
      </c>
      <c r="B71" s="398">
        <v>1191</v>
      </c>
      <c r="C71" s="116" t="str">
        <f>'I. Фін результат'!C74</f>
        <v>(    )</v>
      </c>
      <c r="D71" s="116" t="str">
        <f>'I. Фін результат'!D74</f>
        <v>(    )</v>
      </c>
      <c r="E71" s="116" t="str">
        <f>'I. Фін результат'!E74</f>
        <v>(    )</v>
      </c>
      <c r="F71" s="116">
        <f>'I. Фін результат'!F74</f>
        <v>0</v>
      </c>
      <c r="G71" s="116">
        <f t="shared" ref="G71:I71" si="17">ROUND(F71*1,0)</f>
        <v>0</v>
      </c>
      <c r="H71" s="116">
        <f t="shared" si="17"/>
        <v>0</v>
      </c>
      <c r="I71" s="116">
        <f t="shared" si="17"/>
        <v>0</v>
      </c>
      <c r="J71" s="116"/>
      <c r="M71" s="211"/>
      <c r="N71" s="211"/>
      <c r="O71" s="211"/>
      <c r="P71" s="211"/>
      <c r="Q71" s="211"/>
      <c r="R71" s="211"/>
      <c r="S71" s="211"/>
    </row>
    <row r="72" spans="1:19" ht="28.5" customHeight="1">
      <c r="A72" s="206" t="s">
        <v>287</v>
      </c>
      <c r="B72" s="398">
        <v>1200</v>
      </c>
      <c r="C72" s="117">
        <f>SUM(C67:C71)</f>
        <v>6881</v>
      </c>
      <c r="D72" s="117">
        <f t="shared" ref="D72:G72" si="18">SUM(D67:D71)</f>
        <v>5762</v>
      </c>
      <c r="E72" s="117">
        <f t="shared" si="18"/>
        <v>5762</v>
      </c>
      <c r="F72" s="117">
        <f t="shared" si="18"/>
        <v>450</v>
      </c>
      <c r="G72" s="117">
        <f t="shared" si="18"/>
        <v>596</v>
      </c>
      <c r="H72" s="117">
        <f>SUM(H67:H71)</f>
        <v>723</v>
      </c>
      <c r="I72" s="117">
        <f t="shared" ref="I72" si="19">SUM(I67:I71)</f>
        <v>773</v>
      </c>
      <c r="J72" s="117">
        <f t="shared" ref="J72" si="20">SUM(J67:J71)</f>
        <v>0</v>
      </c>
      <c r="M72" s="211"/>
      <c r="N72" s="211"/>
      <c r="O72" s="211"/>
      <c r="P72" s="211"/>
      <c r="Q72" s="211"/>
      <c r="R72" s="211"/>
      <c r="S72" s="211"/>
    </row>
    <row r="73" spans="1:19" ht="27.75" customHeight="1">
      <c r="A73" s="205" t="s">
        <v>290</v>
      </c>
      <c r="B73" s="398">
        <v>1201</v>
      </c>
      <c r="C73" s="116">
        <f>C72</f>
        <v>6881</v>
      </c>
      <c r="D73" s="116">
        <f t="shared" ref="D73:I73" si="21">D72</f>
        <v>5762</v>
      </c>
      <c r="E73" s="116">
        <f t="shared" si="21"/>
        <v>5762</v>
      </c>
      <c r="F73" s="116">
        <f t="shared" si="21"/>
        <v>450</v>
      </c>
      <c r="G73" s="116">
        <f t="shared" si="21"/>
        <v>596</v>
      </c>
      <c r="H73" s="116">
        <f t="shared" si="21"/>
        <v>723</v>
      </c>
      <c r="I73" s="116">
        <f t="shared" si="21"/>
        <v>773</v>
      </c>
      <c r="J73" s="116"/>
      <c r="M73" s="211"/>
      <c r="N73" s="211"/>
      <c r="O73" s="211"/>
      <c r="P73" s="211"/>
      <c r="Q73" s="211"/>
      <c r="R73" s="211"/>
      <c r="S73" s="211"/>
    </row>
    <row r="74" spans="1:19" ht="27.75" customHeight="1">
      <c r="A74" s="205" t="s">
        <v>291</v>
      </c>
      <c r="B74" s="398">
        <v>1202</v>
      </c>
      <c r="C74" s="116" t="str">
        <f>'I. Фін результат'!C77</f>
        <v>(    )</v>
      </c>
      <c r="D74" s="116" t="str">
        <f>'I. Фін результат'!D77</f>
        <v>(    )</v>
      </c>
      <c r="E74" s="116" t="str">
        <f>'I. Фін результат'!E77</f>
        <v>(    )</v>
      </c>
      <c r="F74" s="116">
        <f>'I. Фін результат'!F77</f>
        <v>0</v>
      </c>
      <c r="G74" s="116"/>
      <c r="H74" s="116"/>
      <c r="I74" s="116"/>
      <c r="J74" s="116"/>
      <c r="M74" s="211"/>
      <c r="N74" s="211"/>
      <c r="O74" s="211"/>
      <c r="P74" s="211"/>
      <c r="Q74" s="211"/>
      <c r="R74" s="211"/>
      <c r="S74" s="211"/>
    </row>
    <row r="75" spans="1:19" ht="27.75" customHeight="1">
      <c r="A75" s="480" t="s">
        <v>108</v>
      </c>
      <c r="B75" s="480"/>
      <c r="C75" s="480"/>
      <c r="D75" s="480"/>
      <c r="E75" s="480"/>
      <c r="F75" s="480"/>
      <c r="G75" s="480"/>
      <c r="H75" s="480"/>
      <c r="I75" s="480"/>
      <c r="J75" s="480"/>
      <c r="M75" s="211"/>
      <c r="N75" s="211"/>
      <c r="O75" s="211"/>
      <c r="P75" s="211"/>
      <c r="Q75" s="211"/>
      <c r="R75" s="211"/>
      <c r="S75" s="211"/>
    </row>
    <row r="76" spans="1:19" ht="52.5" customHeight="1">
      <c r="A76" s="207" t="s">
        <v>529</v>
      </c>
      <c r="B76" s="398">
        <v>2110</v>
      </c>
      <c r="C76" s="116">
        <f>'ІІ. Розр. з бюджетом'!C19</f>
        <v>16661</v>
      </c>
      <c r="D76" s="116">
        <f>'ІІ. Розр. з бюджетом'!D19</f>
        <v>16920</v>
      </c>
      <c r="E76" s="116">
        <f>'ІІ. Розр. з бюджетом'!E19</f>
        <v>18803</v>
      </c>
      <c r="F76" s="116">
        <f>'ІІ. Розр. з бюджетом'!F19</f>
        <v>18928</v>
      </c>
      <c r="G76" s="116">
        <f>ROUND(F76*109.4%,0)</f>
        <v>20707</v>
      </c>
      <c r="H76" s="116">
        <f>ROUND(G76*107.5%,0)</f>
        <v>22260</v>
      </c>
      <c r="I76" s="116">
        <f>ROUND(H76*107.5%,0)</f>
        <v>23930</v>
      </c>
      <c r="J76" s="337"/>
      <c r="M76" s="211"/>
      <c r="N76" s="211"/>
      <c r="O76" s="211"/>
      <c r="P76" s="211"/>
      <c r="Q76" s="211"/>
      <c r="R76" s="211"/>
      <c r="S76" s="211"/>
    </row>
    <row r="77" spans="1:19" ht="43.5" customHeight="1">
      <c r="A77" s="208" t="s">
        <v>357</v>
      </c>
      <c r="B77" s="397">
        <v>2120</v>
      </c>
      <c r="C77" s="116">
        <f>'ІІ. Розр. з бюджетом'!C27</f>
        <v>11088</v>
      </c>
      <c r="D77" s="116">
        <f>'ІІ. Розр. з бюджетом'!D27</f>
        <v>11106</v>
      </c>
      <c r="E77" s="116">
        <f>'ІІ. Розр. з бюджетом'!E27</f>
        <v>11670</v>
      </c>
      <c r="F77" s="116">
        <f>'ІІ. Розр. з бюджетом'!F27</f>
        <v>10902</v>
      </c>
      <c r="G77" s="116">
        <f t="shared" ref="G77:G78" si="22">ROUND(F77*109.4%,0)</f>
        <v>11927</v>
      </c>
      <c r="H77" s="116">
        <f t="shared" ref="H77:I77" si="23">ROUND(G77*107.5%,0)</f>
        <v>12822</v>
      </c>
      <c r="I77" s="116">
        <f t="shared" si="23"/>
        <v>13784</v>
      </c>
      <c r="J77" s="337"/>
      <c r="M77" s="211"/>
      <c r="N77" s="211"/>
      <c r="O77" s="211"/>
      <c r="P77" s="211"/>
      <c r="Q77" s="211"/>
      <c r="R77" s="211"/>
      <c r="S77" s="211"/>
    </row>
    <row r="78" spans="1:19" ht="33" customHeight="1">
      <c r="A78" s="207" t="s">
        <v>358</v>
      </c>
      <c r="B78" s="397">
        <v>2130</v>
      </c>
      <c r="C78" s="116">
        <f>'ІІ. Розр. з бюджетом'!C36</f>
        <v>15599</v>
      </c>
      <c r="D78" s="116">
        <f>'ІІ. Розр. з бюджетом'!D36</f>
        <v>16728</v>
      </c>
      <c r="E78" s="116">
        <f>'ІІ. Розр. з бюджетом'!E36</f>
        <v>16811</v>
      </c>
      <c r="F78" s="116">
        <f>'ІІ. Розр. з бюджетом'!F36</f>
        <v>18632</v>
      </c>
      <c r="G78" s="116">
        <f t="shared" si="22"/>
        <v>20383</v>
      </c>
      <c r="H78" s="116">
        <f t="shared" ref="H78:I78" si="24">ROUND(G78*107.5%,0)</f>
        <v>21912</v>
      </c>
      <c r="I78" s="116">
        <f t="shared" si="24"/>
        <v>23555</v>
      </c>
      <c r="J78" s="337"/>
      <c r="M78" s="211"/>
      <c r="N78" s="211"/>
      <c r="O78" s="211"/>
      <c r="P78" s="211"/>
      <c r="Q78" s="211"/>
      <c r="R78" s="211"/>
      <c r="S78" s="211"/>
    </row>
    <row r="79" spans="1:19" ht="30.75" customHeight="1">
      <c r="A79" s="209" t="s">
        <v>352</v>
      </c>
      <c r="B79" s="397">
        <v>2200</v>
      </c>
      <c r="C79" s="117">
        <f>'ІІ. Розр. з бюджетом'!C43</f>
        <v>43348</v>
      </c>
      <c r="D79" s="117">
        <f>'ІІ. Розр. з бюджетом'!D43</f>
        <v>44754</v>
      </c>
      <c r="E79" s="117">
        <f>'ІІ. Розр. з бюджетом'!E43</f>
        <v>47284</v>
      </c>
      <c r="F79" s="117">
        <f>'ІІ. Розр. з бюджетом'!F43</f>
        <v>48462</v>
      </c>
      <c r="G79" s="117">
        <f>SUM(G76:G78)</f>
        <v>53017</v>
      </c>
      <c r="H79" s="117">
        <f t="shared" ref="H79:J79" si="25">SUM(H76:H78)</f>
        <v>56994</v>
      </c>
      <c r="I79" s="117">
        <f t="shared" si="25"/>
        <v>61269</v>
      </c>
      <c r="J79" s="117">
        <f t="shared" si="25"/>
        <v>0</v>
      </c>
      <c r="M79" s="211"/>
      <c r="N79" s="211"/>
      <c r="O79" s="211"/>
      <c r="P79" s="211"/>
      <c r="Q79" s="211"/>
      <c r="R79" s="211"/>
      <c r="S79" s="211"/>
    </row>
    <row r="80" spans="1:19" ht="30" customHeight="1">
      <c r="A80" s="480" t="s">
        <v>107</v>
      </c>
      <c r="B80" s="510"/>
      <c r="C80" s="480"/>
      <c r="D80" s="480"/>
      <c r="E80" s="480"/>
      <c r="F80" s="480"/>
      <c r="G80" s="480"/>
      <c r="H80" s="480"/>
      <c r="I80" s="480"/>
      <c r="J80" s="480"/>
      <c r="M80" s="211"/>
      <c r="N80" s="211"/>
      <c r="O80" s="211"/>
      <c r="P80" s="211"/>
      <c r="Q80" s="211"/>
      <c r="R80" s="211"/>
      <c r="S80" s="211"/>
    </row>
    <row r="81" spans="1:19" ht="30.75" customHeight="1">
      <c r="A81" s="209" t="s">
        <v>208</v>
      </c>
      <c r="B81" s="397">
        <v>3405</v>
      </c>
      <c r="C81" s="117">
        <f>'ІІІ. Рух грош. коштів'!C66</f>
        <v>6065</v>
      </c>
      <c r="D81" s="117">
        <f>'ІІІ. Рух грош. коштів'!D66</f>
        <v>7847</v>
      </c>
      <c r="E81" s="117">
        <f>'ІІІ. Рух грош. коштів'!E66</f>
        <v>8094</v>
      </c>
      <c r="F81" s="117">
        <f>'ІІІ. Рух грош. коштів'!F66</f>
        <v>12344</v>
      </c>
      <c r="G81" s="116" t="s">
        <v>147</v>
      </c>
      <c r="H81" s="116" t="s">
        <v>147</v>
      </c>
      <c r="I81" s="116" t="s">
        <v>147</v>
      </c>
      <c r="J81" s="116" t="s">
        <v>147</v>
      </c>
      <c r="M81" s="211"/>
      <c r="N81" s="211"/>
      <c r="O81" s="211"/>
      <c r="P81" s="211"/>
      <c r="Q81" s="211"/>
      <c r="R81" s="211"/>
      <c r="S81" s="211"/>
    </row>
    <row r="82" spans="1:19" ht="27.75" customHeight="1">
      <c r="A82" s="205" t="s">
        <v>277</v>
      </c>
      <c r="B82" s="398">
        <v>3030</v>
      </c>
      <c r="C82" s="116">
        <f>'ІІІ. Рух грош. коштів'!C12</f>
        <v>0</v>
      </c>
      <c r="D82" s="116">
        <f>'ІІІ. Рух грош. коштів'!D12</f>
        <v>0</v>
      </c>
      <c r="E82" s="116">
        <f>'ІІІ. Рух грош. коштів'!E12</f>
        <v>0</v>
      </c>
      <c r="F82" s="116">
        <f>'ІІІ. Рух грош. коштів'!F12</f>
        <v>0</v>
      </c>
      <c r="G82" s="116">
        <f>F82</f>
        <v>0</v>
      </c>
      <c r="H82" s="116">
        <f t="shared" ref="H82:I82" si="26">G82</f>
        <v>0</v>
      </c>
      <c r="I82" s="116">
        <f t="shared" si="26"/>
        <v>0</v>
      </c>
      <c r="J82" s="116"/>
      <c r="M82" s="211"/>
      <c r="N82" s="211"/>
      <c r="O82" s="211"/>
      <c r="P82" s="211"/>
      <c r="Q82" s="211"/>
      <c r="R82" s="211"/>
      <c r="S82" s="211"/>
    </row>
    <row r="83" spans="1:19" ht="27.75" customHeight="1">
      <c r="A83" s="205" t="s">
        <v>209</v>
      </c>
      <c r="B83" s="398">
        <v>3195</v>
      </c>
      <c r="C83" s="116">
        <f>'ІІІ. Рух грош. коштів'!C34</f>
        <v>17129</v>
      </c>
      <c r="D83" s="116">
        <f>'ІІІ. Рух грош. коштів'!D34</f>
        <v>10372</v>
      </c>
      <c r="E83" s="116">
        <f>'ІІІ. Рух грош. коштів'!E34</f>
        <v>14927</v>
      </c>
      <c r="F83" s="116">
        <f>'ІІІ. Рух грош. коштів'!F34</f>
        <v>-384</v>
      </c>
      <c r="G83" s="116" t="s">
        <v>147</v>
      </c>
      <c r="H83" s="116" t="s">
        <v>147</v>
      </c>
      <c r="I83" s="116" t="s">
        <v>147</v>
      </c>
      <c r="J83" s="116" t="s">
        <v>147</v>
      </c>
      <c r="M83" s="211"/>
      <c r="N83" s="211"/>
      <c r="O83" s="211"/>
      <c r="P83" s="211"/>
      <c r="Q83" s="211"/>
      <c r="R83" s="211"/>
      <c r="S83" s="211"/>
    </row>
    <row r="84" spans="1:19" ht="27.75" customHeight="1">
      <c r="A84" s="205" t="s">
        <v>111</v>
      </c>
      <c r="B84" s="398">
        <v>3295</v>
      </c>
      <c r="C84" s="116">
        <f>'ІІІ. Рух грош. коштів'!C52</f>
        <v>-6991</v>
      </c>
      <c r="D84" s="116">
        <f>'ІІІ. Рух грош. коштів'!D52</f>
        <v>-12379</v>
      </c>
      <c r="E84" s="116">
        <f>'ІІІ. Рух грош. коштів'!E52</f>
        <v>-12379</v>
      </c>
      <c r="F84" s="116">
        <f>'ІІІ. Рух грош. коштів'!F52</f>
        <v>-192</v>
      </c>
      <c r="G84" s="116" t="s">
        <v>435</v>
      </c>
      <c r="H84" s="116" t="s">
        <v>147</v>
      </c>
      <c r="I84" s="116" t="s">
        <v>147</v>
      </c>
      <c r="J84" s="116" t="s">
        <v>147</v>
      </c>
      <c r="M84" s="211"/>
      <c r="N84" s="211"/>
      <c r="O84" s="211"/>
      <c r="P84" s="211"/>
      <c r="Q84" s="211"/>
      <c r="R84" s="211"/>
      <c r="S84" s="211"/>
    </row>
    <row r="85" spans="1:19" ht="27.75" customHeight="1">
      <c r="A85" s="205" t="s">
        <v>210</v>
      </c>
      <c r="B85" s="398">
        <v>3395</v>
      </c>
      <c r="C85" s="116">
        <f>'ІІІ. Рух грош. коштів'!C64</f>
        <v>-8109</v>
      </c>
      <c r="D85" s="116">
        <f>'ІІІ. Рух грош. коштів'!D64</f>
        <v>1703</v>
      </c>
      <c r="E85" s="116">
        <f>'ІІІ. Рух грош. коштів'!E64</f>
        <v>1702</v>
      </c>
      <c r="F85" s="116">
        <f>'ІІІ. Рух грош. коштів'!F64</f>
        <v>-1727</v>
      </c>
      <c r="G85" s="116" t="s">
        <v>147</v>
      </c>
      <c r="H85" s="116" t="s">
        <v>147</v>
      </c>
      <c r="I85" s="116" t="s">
        <v>147</v>
      </c>
      <c r="J85" s="116" t="s">
        <v>147</v>
      </c>
      <c r="M85" s="211"/>
      <c r="N85" s="211"/>
      <c r="O85" s="211"/>
      <c r="P85" s="211"/>
      <c r="Q85" s="211"/>
      <c r="R85" s="211"/>
      <c r="S85" s="211"/>
    </row>
    <row r="86" spans="1:19" ht="27.75" customHeight="1">
      <c r="A86" s="205" t="s">
        <v>115</v>
      </c>
      <c r="B86" s="398">
        <v>3410</v>
      </c>
      <c r="C86" s="116">
        <f>'ІІІ. Рух грош. коштів'!C67</f>
        <v>0</v>
      </c>
      <c r="D86" s="116">
        <f>'ІІІ. Рух грош. коштів'!D67</f>
        <v>0</v>
      </c>
      <c r="E86" s="116">
        <f>'ІІІ. Рух грош. коштів'!E67</f>
        <v>0</v>
      </c>
      <c r="F86" s="116">
        <f>'ІІІ. Рух грош. коштів'!F67</f>
        <v>0</v>
      </c>
      <c r="G86" s="116" t="s">
        <v>147</v>
      </c>
      <c r="H86" s="116" t="s">
        <v>147</v>
      </c>
      <c r="I86" s="116" t="s">
        <v>147</v>
      </c>
      <c r="J86" s="116" t="s">
        <v>147</v>
      </c>
      <c r="M86" s="211"/>
      <c r="N86" s="211"/>
      <c r="O86" s="211"/>
      <c r="P86" s="211"/>
      <c r="Q86" s="211"/>
      <c r="R86" s="211"/>
      <c r="S86" s="211"/>
    </row>
    <row r="87" spans="1:19" ht="30.75" customHeight="1">
      <c r="A87" s="209" t="s">
        <v>211</v>
      </c>
      <c r="B87" s="397">
        <v>3415</v>
      </c>
      <c r="C87" s="117">
        <f>SUM(C81,C83:C86)</f>
        <v>8094</v>
      </c>
      <c r="D87" s="117">
        <f t="shared" ref="D87:F87" si="27">SUM(D81,D83:D86)</f>
        <v>7543</v>
      </c>
      <c r="E87" s="117">
        <f t="shared" si="27"/>
        <v>12344</v>
      </c>
      <c r="F87" s="117">
        <f t="shared" si="27"/>
        <v>10041</v>
      </c>
      <c r="G87" s="116" t="s">
        <v>147</v>
      </c>
      <c r="H87" s="116" t="s">
        <v>147</v>
      </c>
      <c r="I87" s="116" t="s">
        <v>147</v>
      </c>
      <c r="J87" s="116" t="s">
        <v>147</v>
      </c>
      <c r="M87" s="211"/>
      <c r="N87" s="211"/>
      <c r="O87" s="211"/>
      <c r="P87" s="211"/>
      <c r="Q87" s="211"/>
      <c r="R87" s="211"/>
      <c r="S87" s="211"/>
    </row>
    <row r="88" spans="1:19" ht="27.75" customHeight="1">
      <c r="A88" s="485" t="s">
        <v>141</v>
      </c>
      <c r="B88" s="486"/>
      <c r="C88" s="486"/>
      <c r="D88" s="486"/>
      <c r="E88" s="486"/>
      <c r="F88" s="486"/>
      <c r="G88" s="486"/>
      <c r="H88" s="486"/>
      <c r="I88" s="486"/>
      <c r="J88" s="487"/>
      <c r="M88" s="211"/>
      <c r="N88" s="211"/>
      <c r="O88" s="211"/>
      <c r="P88" s="211"/>
      <c r="Q88" s="211"/>
      <c r="R88" s="211"/>
      <c r="S88" s="211"/>
    </row>
    <row r="89" spans="1:19" ht="27.75" customHeight="1">
      <c r="A89" s="206" t="s">
        <v>140</v>
      </c>
      <c r="B89" s="398">
        <v>4000</v>
      </c>
      <c r="C89" s="117">
        <f>'IV. Кап. інвестиції'!C7</f>
        <v>9509</v>
      </c>
      <c r="D89" s="117">
        <f>'IV. Кап. інвестиції'!D7</f>
        <v>10316</v>
      </c>
      <c r="E89" s="117">
        <f>'IV. Кап. інвестиції'!E7</f>
        <v>10316</v>
      </c>
      <c r="F89" s="117">
        <f>'IV. Кап. інвестиції'!F7</f>
        <v>160</v>
      </c>
      <c r="G89" s="117">
        <f>ROUND(F89*109.4%,0)</f>
        <v>175</v>
      </c>
      <c r="H89" s="117">
        <f>ROUND(G89*107.5%,0)</f>
        <v>188</v>
      </c>
      <c r="I89" s="117">
        <f>ROUND(H89*107.5%,0)</f>
        <v>202</v>
      </c>
      <c r="J89" s="435"/>
      <c r="M89" s="211"/>
      <c r="N89" s="211"/>
      <c r="O89" s="211"/>
      <c r="P89" s="211"/>
      <c r="Q89" s="211"/>
      <c r="R89" s="211"/>
      <c r="S89" s="211"/>
    </row>
    <row r="90" spans="1:19" ht="27.75" customHeight="1">
      <c r="A90" s="492" t="s">
        <v>144</v>
      </c>
      <c r="B90" s="492"/>
      <c r="C90" s="492"/>
      <c r="D90" s="492"/>
      <c r="E90" s="492"/>
      <c r="F90" s="492"/>
      <c r="G90" s="492"/>
      <c r="H90" s="492"/>
      <c r="I90" s="492"/>
      <c r="J90" s="492"/>
      <c r="M90" s="211"/>
      <c r="N90" s="211"/>
      <c r="O90" s="211"/>
      <c r="P90" s="211"/>
      <c r="Q90" s="211"/>
      <c r="R90" s="211"/>
      <c r="S90" s="211"/>
    </row>
    <row r="91" spans="1:19" ht="27.75" customHeight="1">
      <c r="A91" s="205" t="s">
        <v>212</v>
      </c>
      <c r="B91" s="398">
        <v>5040</v>
      </c>
      <c r="C91" s="210">
        <f t="shared" ref="C91" si="28">(C72/C51)*100</f>
        <v>4.5999999999999996</v>
      </c>
      <c r="D91" s="210">
        <f t="shared" ref="D91:F91" si="29">(D72/D51)*100</f>
        <v>3.9</v>
      </c>
      <c r="E91" s="210">
        <f t="shared" si="29"/>
        <v>3.8</v>
      </c>
      <c r="F91" s="210">
        <f t="shared" si="29"/>
        <v>0.3</v>
      </c>
      <c r="G91" s="210">
        <f t="shared" ref="G91:I91" si="30">(G72/G51)*100</f>
        <v>0.4</v>
      </c>
      <c r="H91" s="210">
        <f t="shared" si="30"/>
        <v>0.4</v>
      </c>
      <c r="I91" s="210">
        <f t="shared" si="30"/>
        <v>0.4</v>
      </c>
      <c r="J91" s="116" t="e">
        <f>(J72/J51)*100</f>
        <v>#DIV/0!</v>
      </c>
      <c r="M91" s="211"/>
      <c r="N91" s="211"/>
      <c r="O91" s="211"/>
      <c r="P91" s="211"/>
      <c r="Q91" s="211"/>
      <c r="R91" s="211"/>
      <c r="S91" s="211"/>
    </row>
    <row r="92" spans="1:19" ht="27.75" customHeight="1">
      <c r="A92" s="205" t="s">
        <v>213</v>
      </c>
      <c r="B92" s="398">
        <v>5020</v>
      </c>
      <c r="C92" s="210">
        <f>(C72/C103)*100</f>
        <v>6.3</v>
      </c>
      <c r="D92" s="210">
        <f t="shared" ref="D92:F92" si="31">(D72/D103)*100</f>
        <v>4.7</v>
      </c>
      <c r="E92" s="210">
        <f t="shared" si="31"/>
        <v>4.9000000000000004</v>
      </c>
      <c r="F92" s="210">
        <f t="shared" si="31"/>
        <v>0.4</v>
      </c>
      <c r="G92" s="210" t="s">
        <v>147</v>
      </c>
      <c r="H92" s="210" t="s">
        <v>147</v>
      </c>
      <c r="I92" s="210" t="s">
        <v>147</v>
      </c>
      <c r="J92" s="116" t="s">
        <v>147</v>
      </c>
      <c r="M92" s="211"/>
      <c r="N92" s="211"/>
      <c r="O92" s="211"/>
      <c r="P92" s="211"/>
      <c r="Q92" s="211"/>
      <c r="R92" s="211"/>
      <c r="S92" s="211"/>
    </row>
    <row r="93" spans="1:19" ht="27.75" customHeight="1">
      <c r="A93" s="205" t="s">
        <v>214</v>
      </c>
      <c r="B93" s="398">
        <v>5030</v>
      </c>
      <c r="C93" s="210">
        <f>(C72/C104)*100</f>
        <v>7.7</v>
      </c>
      <c r="D93" s="210">
        <f t="shared" ref="D93:F93" si="32">(D72/D104)*100</f>
        <v>5.6</v>
      </c>
      <c r="E93" s="210">
        <f t="shared" si="32"/>
        <v>5.8</v>
      </c>
      <c r="F93" s="210">
        <f t="shared" si="32"/>
        <v>0.5</v>
      </c>
      <c r="G93" s="210" t="s">
        <v>147</v>
      </c>
      <c r="H93" s="210" t="s">
        <v>147</v>
      </c>
      <c r="I93" s="210" t="s">
        <v>147</v>
      </c>
      <c r="J93" s="116" t="s">
        <v>147</v>
      </c>
      <c r="M93" s="211"/>
      <c r="N93" s="211"/>
      <c r="O93" s="211"/>
      <c r="P93" s="211"/>
      <c r="Q93" s="211"/>
      <c r="R93" s="211"/>
      <c r="S93" s="211"/>
    </row>
    <row r="94" spans="1:19" ht="27.75" customHeight="1">
      <c r="A94" s="205" t="s">
        <v>151</v>
      </c>
      <c r="B94" s="398">
        <v>5110</v>
      </c>
      <c r="C94" s="210">
        <f>C104/C107</f>
        <v>4.5999999999999996</v>
      </c>
      <c r="D94" s="210">
        <f t="shared" ref="D94:F94" si="33">D104/D107</f>
        <v>5.3</v>
      </c>
      <c r="E94" s="210">
        <f t="shared" si="33"/>
        <v>5.6</v>
      </c>
      <c r="F94" s="210">
        <f t="shared" si="33"/>
        <v>8.1</v>
      </c>
      <c r="G94" s="210" t="s">
        <v>147</v>
      </c>
      <c r="H94" s="210" t="s">
        <v>147</v>
      </c>
      <c r="I94" s="210" t="s">
        <v>147</v>
      </c>
      <c r="J94" s="116" t="s">
        <v>147</v>
      </c>
      <c r="M94" s="211"/>
      <c r="N94" s="211"/>
      <c r="O94" s="211"/>
      <c r="P94" s="211"/>
      <c r="Q94" s="211"/>
      <c r="R94" s="211"/>
      <c r="S94" s="211"/>
    </row>
    <row r="95" spans="1:19" ht="27.75" customHeight="1">
      <c r="A95" s="205" t="s">
        <v>215</v>
      </c>
      <c r="B95" s="398">
        <v>5220</v>
      </c>
      <c r="C95" s="210">
        <f>C100/C99</f>
        <v>0.5</v>
      </c>
      <c r="D95" s="210">
        <f t="shared" ref="D95:F95" si="34">D100/D99</f>
        <v>0.5</v>
      </c>
      <c r="E95" s="210">
        <f t="shared" si="34"/>
        <v>0.5</v>
      </c>
      <c r="F95" s="210">
        <f t="shared" si="34"/>
        <v>0.6</v>
      </c>
      <c r="G95" s="210" t="s">
        <v>147</v>
      </c>
      <c r="H95" s="210" t="s">
        <v>147</v>
      </c>
      <c r="I95" s="210" t="s">
        <v>147</v>
      </c>
      <c r="J95" s="116" t="s">
        <v>147</v>
      </c>
      <c r="M95" s="211"/>
      <c r="N95" s="211"/>
      <c r="O95" s="211"/>
      <c r="P95" s="211"/>
      <c r="Q95" s="211"/>
      <c r="R95" s="211"/>
      <c r="S95" s="211"/>
    </row>
    <row r="96" spans="1:19" ht="28.5" customHeight="1">
      <c r="A96" s="480" t="s">
        <v>143</v>
      </c>
      <c r="B96" s="480"/>
      <c r="C96" s="480"/>
      <c r="D96" s="480"/>
      <c r="E96" s="480"/>
      <c r="F96" s="480"/>
      <c r="G96" s="480"/>
      <c r="H96" s="480"/>
      <c r="I96" s="480"/>
      <c r="J96" s="480"/>
      <c r="M96" s="211"/>
      <c r="N96" s="211"/>
      <c r="O96" s="211"/>
      <c r="P96" s="211"/>
      <c r="Q96" s="211"/>
      <c r="R96" s="211"/>
      <c r="S96" s="211"/>
    </row>
    <row r="97" spans="1:19" ht="27.75" customHeight="1">
      <c r="A97" s="206" t="s">
        <v>216</v>
      </c>
      <c r="B97" s="398">
        <v>6000</v>
      </c>
      <c r="C97" s="117">
        <v>60101</v>
      </c>
      <c r="D97" s="117">
        <v>62130</v>
      </c>
      <c r="E97" s="117">
        <f>E98+C97-C98</f>
        <v>60329</v>
      </c>
      <c r="F97" s="117">
        <f>F98+E97-E98</f>
        <v>51337</v>
      </c>
      <c r="G97" s="117" t="s">
        <v>147</v>
      </c>
      <c r="H97" s="117" t="s">
        <v>147</v>
      </c>
      <c r="I97" s="117" t="s">
        <v>147</v>
      </c>
      <c r="J97" s="116" t="s">
        <v>147</v>
      </c>
      <c r="L97" s="211"/>
      <c r="M97" s="211"/>
      <c r="N97" s="211"/>
      <c r="O97" s="211"/>
      <c r="P97" s="211"/>
      <c r="Q97" s="211"/>
      <c r="R97" s="211"/>
      <c r="S97" s="211"/>
    </row>
    <row r="98" spans="1:19" ht="27.75" customHeight="1">
      <c r="A98" s="205" t="s">
        <v>293</v>
      </c>
      <c r="B98" s="398">
        <v>6001</v>
      </c>
      <c r="C98" s="116">
        <v>53416</v>
      </c>
      <c r="D98" s="116">
        <f t="shared" ref="D98" si="35">D99-D100</f>
        <v>60228</v>
      </c>
      <c r="E98" s="116">
        <f>E99-E100</f>
        <v>53644</v>
      </c>
      <c r="F98" s="116">
        <f>F99-F100</f>
        <v>44652</v>
      </c>
      <c r="G98" s="116" t="s">
        <v>147</v>
      </c>
      <c r="H98" s="116" t="s">
        <v>147</v>
      </c>
      <c r="I98" s="116" t="s">
        <v>147</v>
      </c>
      <c r="J98" s="116" t="s">
        <v>147</v>
      </c>
      <c r="L98" s="211"/>
      <c r="M98" s="211"/>
      <c r="N98" s="211"/>
      <c r="O98" s="211"/>
      <c r="P98" s="211"/>
      <c r="Q98" s="211"/>
      <c r="R98" s="211"/>
      <c r="S98" s="211"/>
    </row>
    <row r="99" spans="1:19" ht="27.75" customHeight="1">
      <c r="A99" s="205" t="s">
        <v>217</v>
      </c>
      <c r="B99" s="398">
        <v>6002</v>
      </c>
      <c r="C99" s="116">
        <v>98620</v>
      </c>
      <c r="D99" s="116">
        <v>117997</v>
      </c>
      <c r="E99" s="116">
        <f>C99+E89</f>
        <v>108936</v>
      </c>
      <c r="F99" s="116">
        <f>E99+F89</f>
        <v>109096</v>
      </c>
      <c r="G99" s="116" t="s">
        <v>147</v>
      </c>
      <c r="H99" s="116" t="s">
        <v>147</v>
      </c>
      <c r="I99" s="116" t="s">
        <v>147</v>
      </c>
      <c r="J99" s="116" t="s">
        <v>147</v>
      </c>
      <c r="L99" s="211"/>
      <c r="M99" s="211"/>
      <c r="N99" s="211"/>
      <c r="O99" s="211"/>
      <c r="P99" s="211"/>
      <c r="Q99" s="211"/>
      <c r="R99" s="211"/>
      <c r="S99" s="211"/>
    </row>
    <row r="100" spans="1:19" ht="27.75" customHeight="1">
      <c r="A100" s="205" t="s">
        <v>218</v>
      </c>
      <c r="B100" s="398">
        <v>6003</v>
      </c>
      <c r="C100" s="116">
        <v>45204</v>
      </c>
      <c r="D100" s="116">
        <v>57769</v>
      </c>
      <c r="E100" s="116">
        <f>C100+'I. Фін результат'!E93</f>
        <v>55292</v>
      </c>
      <c r="F100" s="116">
        <f>E100+'I. Фін результат'!F93</f>
        <v>64444</v>
      </c>
      <c r="G100" s="116" t="s">
        <v>147</v>
      </c>
      <c r="H100" s="116" t="s">
        <v>147</v>
      </c>
      <c r="I100" s="116" t="s">
        <v>147</v>
      </c>
      <c r="J100" s="116" t="s">
        <v>147</v>
      </c>
      <c r="L100" s="211"/>
      <c r="M100" s="211"/>
      <c r="N100" s="211"/>
      <c r="O100" s="211"/>
      <c r="P100" s="211"/>
      <c r="Q100" s="211"/>
      <c r="R100" s="211"/>
      <c r="S100" s="211"/>
    </row>
    <row r="101" spans="1:19" ht="27.75" customHeight="1">
      <c r="A101" s="206" t="s">
        <v>219</v>
      </c>
      <c r="B101" s="398">
        <v>6010</v>
      </c>
      <c r="C101" s="117">
        <v>48878</v>
      </c>
      <c r="D101" s="117">
        <v>59419</v>
      </c>
      <c r="E101" s="117">
        <v>56609</v>
      </c>
      <c r="F101" s="117">
        <v>60515</v>
      </c>
      <c r="G101" s="117" t="s">
        <v>147</v>
      </c>
      <c r="H101" s="117" t="s">
        <v>147</v>
      </c>
      <c r="I101" s="117" t="s">
        <v>147</v>
      </c>
      <c r="J101" s="116" t="s">
        <v>147</v>
      </c>
      <c r="M101" s="211"/>
      <c r="N101" s="211"/>
      <c r="O101" s="211"/>
      <c r="P101" s="211"/>
      <c r="Q101" s="211"/>
      <c r="R101" s="211"/>
      <c r="S101" s="211"/>
    </row>
    <row r="102" spans="1:19" ht="27.75" customHeight="1">
      <c r="A102" s="205" t="s">
        <v>294</v>
      </c>
      <c r="B102" s="398">
        <v>6011</v>
      </c>
      <c r="C102" s="116">
        <f>C87</f>
        <v>8094</v>
      </c>
      <c r="D102" s="116">
        <f t="shared" ref="D102:F102" si="36">D87</f>
        <v>7543</v>
      </c>
      <c r="E102" s="116">
        <f t="shared" si="36"/>
        <v>12344</v>
      </c>
      <c r="F102" s="116">
        <f t="shared" si="36"/>
        <v>10041</v>
      </c>
      <c r="G102" s="116" t="s">
        <v>147</v>
      </c>
      <c r="H102" s="116" t="s">
        <v>147</v>
      </c>
      <c r="I102" s="116" t="s">
        <v>147</v>
      </c>
      <c r="J102" s="116" t="s">
        <v>147</v>
      </c>
      <c r="M102" s="211"/>
      <c r="N102" s="211"/>
      <c r="O102" s="211"/>
      <c r="P102" s="211"/>
      <c r="Q102" s="211"/>
      <c r="R102" s="211"/>
      <c r="S102" s="211"/>
    </row>
    <row r="103" spans="1:19" ht="27.75" customHeight="1">
      <c r="A103" s="206" t="s">
        <v>166</v>
      </c>
      <c r="B103" s="398">
        <v>6020</v>
      </c>
      <c r="C103" s="117">
        <f>C97+C101</f>
        <v>108979</v>
      </c>
      <c r="D103" s="117">
        <f t="shared" ref="D103:F103" si="37">D97+D101</f>
        <v>121549</v>
      </c>
      <c r="E103" s="117">
        <f t="shared" si="37"/>
        <v>116938</v>
      </c>
      <c r="F103" s="117">
        <f t="shared" si="37"/>
        <v>111852</v>
      </c>
      <c r="G103" s="117" t="s">
        <v>147</v>
      </c>
      <c r="H103" s="117" t="s">
        <v>147</v>
      </c>
      <c r="I103" s="117" t="s">
        <v>147</v>
      </c>
      <c r="J103" s="116" t="s">
        <v>147</v>
      </c>
      <c r="M103" s="211"/>
      <c r="N103" s="211"/>
      <c r="O103" s="211"/>
      <c r="P103" s="211"/>
      <c r="Q103" s="211"/>
      <c r="R103" s="211"/>
      <c r="S103" s="211"/>
    </row>
    <row r="104" spans="1:19" ht="27.75" customHeight="1">
      <c r="A104" s="206" t="s">
        <v>105</v>
      </c>
      <c r="B104" s="398">
        <v>6030</v>
      </c>
      <c r="C104" s="117">
        <v>89409</v>
      </c>
      <c r="D104" s="117">
        <v>102320</v>
      </c>
      <c r="E104" s="117">
        <f>C104+'I. Фін результат'!E76+'ІІ. Розр. з бюджетом'!E10+'VII Статутн капіт'!E9</f>
        <v>99105</v>
      </c>
      <c r="F104" s="117">
        <f>E104+'I. Фін результат'!F76+'ІІ. Розр. з бюджетом'!F10+'VII Статутн капіт'!F9</f>
        <v>99510</v>
      </c>
      <c r="G104" s="116" t="s">
        <v>147</v>
      </c>
      <c r="H104" s="116" t="s">
        <v>147</v>
      </c>
      <c r="I104" s="116" t="s">
        <v>147</v>
      </c>
      <c r="J104" s="116"/>
      <c r="M104" s="211"/>
      <c r="N104" s="211"/>
      <c r="O104" s="211"/>
      <c r="P104" s="211"/>
      <c r="Q104" s="211"/>
      <c r="R104" s="211"/>
      <c r="S104" s="211"/>
    </row>
    <row r="105" spans="1:19" ht="27.75" customHeight="1">
      <c r="A105" s="205" t="s">
        <v>116</v>
      </c>
      <c r="B105" s="398">
        <v>6040</v>
      </c>
      <c r="C105" s="116">
        <v>4404</v>
      </c>
      <c r="D105" s="116">
        <v>3051</v>
      </c>
      <c r="E105" s="116">
        <f>E109</f>
        <v>3050</v>
      </c>
      <c r="F105" s="116">
        <f>F109</f>
        <v>1810</v>
      </c>
      <c r="G105" s="116" t="s">
        <v>147</v>
      </c>
      <c r="H105" s="116" t="s">
        <v>147</v>
      </c>
      <c r="I105" s="116" t="s">
        <v>147</v>
      </c>
      <c r="J105" s="116" t="s">
        <v>147</v>
      </c>
      <c r="M105" s="211"/>
      <c r="N105" s="211"/>
      <c r="O105" s="211"/>
      <c r="P105" s="211"/>
      <c r="Q105" s="211"/>
      <c r="R105" s="211"/>
      <c r="S105" s="211"/>
    </row>
    <row r="106" spans="1:19" ht="27.75" customHeight="1">
      <c r="A106" s="205" t="s">
        <v>117</v>
      </c>
      <c r="B106" s="398">
        <v>6050</v>
      </c>
      <c r="C106" s="116">
        <v>15166</v>
      </c>
      <c r="D106" s="116">
        <v>16178</v>
      </c>
      <c r="E106" s="116">
        <v>14783</v>
      </c>
      <c r="F106" s="116">
        <v>10532</v>
      </c>
      <c r="G106" s="116" t="s">
        <v>147</v>
      </c>
      <c r="H106" s="116" t="s">
        <v>147</v>
      </c>
      <c r="I106" s="116" t="s">
        <v>147</v>
      </c>
      <c r="J106" s="116" t="s">
        <v>147</v>
      </c>
      <c r="M106" s="211"/>
      <c r="N106" s="211"/>
      <c r="O106" s="211"/>
      <c r="P106" s="211"/>
      <c r="Q106" s="211"/>
      <c r="R106" s="211"/>
      <c r="S106" s="211"/>
    </row>
    <row r="107" spans="1:19" ht="27.75" customHeight="1">
      <c r="A107" s="206" t="s">
        <v>165</v>
      </c>
      <c r="B107" s="398">
        <v>6060</v>
      </c>
      <c r="C107" s="117">
        <f>SUM(C105:C106)</f>
        <v>19570</v>
      </c>
      <c r="D107" s="117">
        <f t="shared" ref="D107:F107" si="38">SUM(D105:D106)</f>
        <v>19229</v>
      </c>
      <c r="E107" s="117">
        <f>SUM(E105:E106)</f>
        <v>17833</v>
      </c>
      <c r="F107" s="117">
        <f t="shared" si="38"/>
        <v>12342</v>
      </c>
      <c r="G107" s="117" t="s">
        <v>147</v>
      </c>
      <c r="H107" s="117" t="s">
        <v>147</v>
      </c>
      <c r="I107" s="117" t="s">
        <v>147</v>
      </c>
      <c r="J107" s="116" t="s">
        <v>147</v>
      </c>
      <c r="M107" s="211"/>
      <c r="N107" s="211"/>
      <c r="O107" s="211"/>
      <c r="P107" s="211"/>
      <c r="Q107" s="211"/>
      <c r="R107" s="211"/>
      <c r="S107" s="211"/>
    </row>
    <row r="108" spans="1:19" ht="27.75" customHeight="1">
      <c r="A108" s="205" t="s">
        <v>295</v>
      </c>
      <c r="B108" s="398">
        <v>6070</v>
      </c>
      <c r="C108" s="116"/>
      <c r="D108" s="116"/>
      <c r="E108" s="116"/>
      <c r="F108" s="116"/>
      <c r="G108" s="116" t="s">
        <v>147</v>
      </c>
      <c r="H108" s="116" t="s">
        <v>147</v>
      </c>
      <c r="I108" s="116" t="s">
        <v>147</v>
      </c>
      <c r="J108" s="116"/>
      <c r="M108" s="211"/>
      <c r="N108" s="211"/>
      <c r="O108" s="211"/>
      <c r="P108" s="211"/>
      <c r="Q108" s="211"/>
      <c r="R108" s="211"/>
      <c r="S108" s="211"/>
    </row>
    <row r="109" spans="1:19" ht="27.75" customHeight="1">
      <c r="A109" s="205" t="s">
        <v>296</v>
      </c>
      <c r="B109" s="398">
        <v>6080</v>
      </c>
      <c r="C109" s="116">
        <v>4404</v>
      </c>
      <c r="D109" s="116">
        <v>3051</v>
      </c>
      <c r="E109" s="116">
        <f>C109+E114-E118</f>
        <v>3050</v>
      </c>
      <c r="F109" s="116">
        <f>E109+F113-F117</f>
        <v>1810</v>
      </c>
      <c r="G109" s="116" t="s">
        <v>147</v>
      </c>
      <c r="H109" s="116" t="s">
        <v>147</v>
      </c>
      <c r="I109" s="116" t="s">
        <v>147</v>
      </c>
      <c r="J109" s="116" t="s">
        <v>147</v>
      </c>
      <c r="M109" s="211"/>
      <c r="N109" s="211"/>
      <c r="O109" s="211"/>
      <c r="P109" s="211"/>
      <c r="Q109" s="211"/>
      <c r="R109" s="211"/>
      <c r="S109" s="211"/>
    </row>
    <row r="110" spans="1:19" ht="27.75" customHeight="1">
      <c r="A110" s="206" t="s">
        <v>333</v>
      </c>
      <c r="B110" s="398">
        <v>6090</v>
      </c>
      <c r="C110" s="117">
        <f>C104+C107</f>
        <v>108979</v>
      </c>
      <c r="D110" s="117">
        <f t="shared" ref="D110:F110" si="39">D104+D107</f>
        <v>121549</v>
      </c>
      <c r="E110" s="117">
        <f t="shared" si="39"/>
        <v>116938</v>
      </c>
      <c r="F110" s="117">
        <f t="shared" si="39"/>
        <v>111852</v>
      </c>
      <c r="G110" s="116" t="s">
        <v>147</v>
      </c>
      <c r="H110" s="116" t="s">
        <v>147</v>
      </c>
      <c r="I110" s="116" t="s">
        <v>147</v>
      </c>
      <c r="J110" s="116"/>
      <c r="M110" s="211"/>
      <c r="N110" s="211"/>
      <c r="O110" s="211"/>
      <c r="P110" s="211"/>
      <c r="Q110" s="211"/>
      <c r="R110" s="211"/>
      <c r="S110" s="211"/>
    </row>
    <row r="111" spans="1:19" ht="27.75" customHeight="1">
      <c r="A111" s="206" t="s">
        <v>334</v>
      </c>
      <c r="B111" s="398">
        <v>6099</v>
      </c>
      <c r="C111" s="117">
        <f>C103-C110</f>
        <v>0</v>
      </c>
      <c r="D111" s="117">
        <f t="shared" ref="D111:E111" si="40">D103-D110</f>
        <v>0</v>
      </c>
      <c r="E111" s="117">
        <f t="shared" si="40"/>
        <v>0</v>
      </c>
      <c r="F111" s="117">
        <f>F103-F110</f>
        <v>0</v>
      </c>
      <c r="G111" s="117" t="s">
        <v>147</v>
      </c>
      <c r="H111" s="117" t="s">
        <v>147</v>
      </c>
      <c r="I111" s="117" t="s">
        <v>147</v>
      </c>
      <c r="J111" s="116" t="s">
        <v>147</v>
      </c>
      <c r="M111" s="211"/>
      <c r="N111" s="211"/>
      <c r="O111" s="211"/>
      <c r="P111" s="211"/>
      <c r="Q111" s="211"/>
      <c r="R111" s="211"/>
      <c r="S111" s="211"/>
    </row>
    <row r="112" spans="1:19" s="418" customFormat="1" ht="28.5" customHeight="1">
      <c r="A112" s="480" t="s">
        <v>220</v>
      </c>
      <c r="B112" s="480"/>
      <c r="C112" s="480"/>
      <c r="D112" s="480"/>
      <c r="E112" s="480"/>
      <c r="F112" s="480"/>
      <c r="G112" s="480"/>
      <c r="H112" s="480"/>
      <c r="I112" s="480"/>
      <c r="J112" s="480"/>
      <c r="M112" s="211"/>
      <c r="N112" s="211"/>
      <c r="O112" s="211"/>
      <c r="P112" s="211"/>
      <c r="Q112" s="211"/>
      <c r="R112" s="211"/>
      <c r="S112" s="211"/>
    </row>
    <row r="113" spans="1:19" ht="34.5" customHeight="1">
      <c r="A113" s="206" t="s">
        <v>278</v>
      </c>
      <c r="B113" s="398" t="s">
        <v>221</v>
      </c>
      <c r="C113" s="117">
        <f>SUM(C114:C116)</f>
        <v>4265</v>
      </c>
      <c r="D113" s="117">
        <f t="shared" ref="D113:F113" si="41">SUM(D114:D116)</f>
        <v>0</v>
      </c>
      <c r="E113" s="117">
        <f t="shared" si="41"/>
        <v>0</v>
      </c>
      <c r="F113" s="117">
        <f t="shared" si="41"/>
        <v>0</v>
      </c>
      <c r="G113" s="117">
        <f t="shared" ref="G113" si="42">SUM(G114:G116)</f>
        <v>0</v>
      </c>
      <c r="H113" s="117">
        <f t="shared" ref="H113" si="43">SUM(H114:H116)</f>
        <v>0</v>
      </c>
      <c r="I113" s="117">
        <f t="shared" ref="I113" si="44">SUM(I114:I116)</f>
        <v>0</v>
      </c>
      <c r="J113" s="116">
        <f t="shared" ref="J113" si="45">SUM(J114:J116)</f>
        <v>0</v>
      </c>
      <c r="M113" s="211"/>
      <c r="N113" s="211"/>
      <c r="O113" s="211"/>
      <c r="P113" s="211"/>
      <c r="Q113" s="211"/>
      <c r="R113" s="211"/>
      <c r="S113" s="211"/>
    </row>
    <row r="114" spans="1:19" ht="27.75" customHeight="1">
      <c r="A114" s="205" t="s">
        <v>297</v>
      </c>
      <c r="B114" s="398" t="s">
        <v>222</v>
      </c>
      <c r="C114" s="116">
        <v>4265</v>
      </c>
      <c r="D114" s="116"/>
      <c r="E114" s="116"/>
      <c r="F114" s="116">
        <f>'6.1. Інша інфо_1'!G57</f>
        <v>0</v>
      </c>
      <c r="G114" s="116">
        <v>0</v>
      </c>
      <c r="H114" s="116">
        <v>0</v>
      </c>
      <c r="I114" s="116">
        <v>0</v>
      </c>
      <c r="J114" s="116"/>
      <c r="M114" s="211"/>
      <c r="N114" s="211"/>
      <c r="O114" s="211"/>
      <c r="P114" s="211"/>
      <c r="Q114" s="211"/>
      <c r="R114" s="211"/>
      <c r="S114" s="211"/>
    </row>
    <row r="115" spans="1:19" ht="27.75" customHeight="1">
      <c r="A115" s="205" t="s">
        <v>298</v>
      </c>
      <c r="B115" s="398" t="s">
        <v>223</v>
      </c>
      <c r="C115" s="116"/>
      <c r="D115" s="116"/>
      <c r="E115" s="116"/>
      <c r="F115" s="116">
        <f>'6.1. Інша інфо_1'!G60</f>
        <v>0</v>
      </c>
      <c r="G115" s="116">
        <v>0</v>
      </c>
      <c r="H115" s="116">
        <v>0</v>
      </c>
      <c r="I115" s="116">
        <v>0</v>
      </c>
      <c r="J115" s="116"/>
      <c r="M115" s="211"/>
      <c r="N115" s="211"/>
      <c r="O115" s="211"/>
      <c r="P115" s="211"/>
      <c r="Q115" s="211"/>
      <c r="R115" s="211"/>
      <c r="S115" s="211"/>
    </row>
    <row r="116" spans="1:19" ht="27.75" customHeight="1">
      <c r="A116" s="205" t="s">
        <v>299</v>
      </c>
      <c r="B116" s="398" t="s">
        <v>224</v>
      </c>
      <c r="C116" s="116"/>
      <c r="D116" s="116"/>
      <c r="E116" s="116"/>
      <c r="F116" s="116">
        <f>'6.1. Інша інфо_1'!G62</f>
        <v>0</v>
      </c>
      <c r="G116" s="116">
        <v>0</v>
      </c>
      <c r="H116" s="116">
        <v>0</v>
      </c>
      <c r="I116" s="116">
        <v>0</v>
      </c>
      <c r="J116" s="116"/>
      <c r="M116" s="211"/>
      <c r="N116" s="211"/>
      <c r="O116" s="211"/>
      <c r="P116" s="211"/>
      <c r="Q116" s="211"/>
      <c r="R116" s="211"/>
      <c r="S116" s="211"/>
    </row>
    <row r="117" spans="1:19" ht="34.5" customHeight="1">
      <c r="A117" s="206" t="s">
        <v>279</v>
      </c>
      <c r="B117" s="398" t="s">
        <v>225</v>
      </c>
      <c r="C117" s="117">
        <f>SUM(C118:C120)</f>
        <v>6450</v>
      </c>
      <c r="D117" s="117">
        <f t="shared" ref="D117:J117" si="46">SUM(D118:D120)</f>
        <v>1353</v>
      </c>
      <c r="E117" s="117">
        <f t="shared" si="46"/>
        <v>1354</v>
      </c>
      <c r="F117" s="117">
        <f t="shared" si="46"/>
        <v>1240</v>
      </c>
      <c r="G117" s="117">
        <f t="shared" si="46"/>
        <v>1104</v>
      </c>
      <c r="H117" s="117">
        <f t="shared" si="46"/>
        <v>706</v>
      </c>
      <c r="I117" s="117">
        <f t="shared" si="46"/>
        <v>0</v>
      </c>
      <c r="J117" s="117">
        <f t="shared" si="46"/>
        <v>0</v>
      </c>
      <c r="L117" s="212"/>
      <c r="M117" s="211"/>
      <c r="N117" s="211"/>
      <c r="O117" s="211"/>
      <c r="P117" s="211"/>
      <c r="Q117" s="211"/>
      <c r="R117" s="211"/>
      <c r="S117" s="211"/>
    </row>
    <row r="118" spans="1:19" ht="27.75" customHeight="1">
      <c r="A118" s="205" t="s">
        <v>297</v>
      </c>
      <c r="B118" s="398" t="s">
        <v>226</v>
      </c>
      <c r="C118" s="116">
        <v>6450</v>
      </c>
      <c r="D118" s="116">
        <v>1353</v>
      </c>
      <c r="E118" s="116">
        <v>1354</v>
      </c>
      <c r="F118" s="116">
        <f>'6.1. Інша інфо_1'!J57</f>
        <v>1240</v>
      </c>
      <c r="G118" s="116">
        <f>кредити!X175/1000+46</f>
        <v>1104</v>
      </c>
      <c r="H118" s="116">
        <f>кредити!X192/1000</f>
        <v>706</v>
      </c>
      <c r="I118" s="116"/>
      <c r="J118" s="116"/>
      <c r="M118" s="211"/>
      <c r="N118" s="211"/>
      <c r="O118" s="211"/>
      <c r="P118" s="211"/>
      <c r="Q118" s="211"/>
      <c r="R118" s="211"/>
      <c r="S118" s="211"/>
    </row>
    <row r="119" spans="1:19" ht="27.75" customHeight="1">
      <c r="A119" s="205" t="s">
        <v>298</v>
      </c>
      <c r="B119" s="398" t="s">
        <v>227</v>
      </c>
      <c r="C119" s="116"/>
      <c r="D119" s="116"/>
      <c r="E119" s="116"/>
      <c r="F119" s="116">
        <f>'6.1. Інша інфо_1'!J60</f>
        <v>0</v>
      </c>
      <c r="G119" s="116">
        <v>0</v>
      </c>
      <c r="H119" s="116">
        <v>0</v>
      </c>
      <c r="I119" s="116">
        <v>0</v>
      </c>
      <c r="J119" s="116"/>
      <c r="M119" s="211"/>
      <c r="N119" s="211"/>
      <c r="O119" s="211"/>
      <c r="P119" s="211"/>
      <c r="Q119" s="211"/>
      <c r="R119" s="211"/>
      <c r="S119" s="211"/>
    </row>
    <row r="120" spans="1:19" ht="27.75" customHeight="1">
      <c r="A120" s="205" t="s">
        <v>299</v>
      </c>
      <c r="B120" s="398" t="s">
        <v>228</v>
      </c>
      <c r="C120" s="116"/>
      <c r="D120" s="116"/>
      <c r="E120" s="116"/>
      <c r="F120" s="116">
        <f>'6.1. Інша інфо_1'!J62</f>
        <v>0</v>
      </c>
      <c r="G120" s="116"/>
      <c r="H120" s="116"/>
      <c r="I120" s="116"/>
      <c r="J120" s="116"/>
      <c r="M120" s="211"/>
      <c r="N120" s="211"/>
      <c r="O120" s="211"/>
      <c r="P120" s="211"/>
      <c r="Q120" s="211"/>
      <c r="R120" s="211"/>
      <c r="S120" s="211"/>
    </row>
    <row r="121" spans="1:19" ht="31.5" customHeight="1">
      <c r="A121" s="480" t="s">
        <v>229</v>
      </c>
      <c r="B121" s="480"/>
      <c r="C121" s="480"/>
      <c r="D121" s="480"/>
      <c r="E121" s="480"/>
      <c r="F121" s="480"/>
      <c r="G121" s="480"/>
      <c r="H121" s="480"/>
      <c r="I121" s="480"/>
      <c r="J121" s="480"/>
      <c r="M121" s="211"/>
      <c r="N121" s="211"/>
      <c r="O121" s="211"/>
      <c r="P121" s="211"/>
      <c r="Q121" s="211"/>
      <c r="R121" s="211"/>
      <c r="S121" s="211"/>
    </row>
    <row r="122" spans="1:19" s="396" customFormat="1" ht="65.25" customHeight="1">
      <c r="A122" s="209" t="s">
        <v>350</v>
      </c>
      <c r="B122" s="213" t="s">
        <v>230</v>
      </c>
      <c r="C122" s="117">
        <f>SUM(C123:C125)</f>
        <v>207</v>
      </c>
      <c r="D122" s="117">
        <f t="shared" ref="D122:F122" si="47">SUM(D123:D125)</f>
        <v>209</v>
      </c>
      <c r="E122" s="117">
        <f t="shared" si="47"/>
        <v>209</v>
      </c>
      <c r="F122" s="117">
        <f t="shared" si="47"/>
        <v>209</v>
      </c>
      <c r="G122" s="214" t="s">
        <v>147</v>
      </c>
      <c r="H122" s="214" t="s">
        <v>147</v>
      </c>
      <c r="I122" s="214" t="s">
        <v>147</v>
      </c>
      <c r="J122" s="214" t="s">
        <v>147</v>
      </c>
      <c r="M122" s="211"/>
      <c r="N122" s="211"/>
      <c r="O122" s="211"/>
      <c r="P122" s="211"/>
      <c r="Q122" s="211"/>
      <c r="R122" s="211"/>
      <c r="S122" s="211"/>
    </row>
    <row r="123" spans="1:19" ht="27.75" customHeight="1">
      <c r="A123" s="205" t="s">
        <v>161</v>
      </c>
      <c r="B123" s="398" t="s">
        <v>231</v>
      </c>
      <c r="C123" s="116">
        <f>'6.1. Інша інфо_1'!D11</f>
        <v>1</v>
      </c>
      <c r="D123" s="116">
        <f>'6.1. Інша інфо_1'!F11</f>
        <v>1</v>
      </c>
      <c r="E123" s="116">
        <f>'6.1. Інша інфо_1'!H11</f>
        <v>1</v>
      </c>
      <c r="F123" s="116">
        <f>'6.1. Інша інфо_1'!J11</f>
        <v>1</v>
      </c>
      <c r="G123" s="116" t="s">
        <v>147</v>
      </c>
      <c r="H123" s="116" t="s">
        <v>147</v>
      </c>
      <c r="I123" s="116" t="s">
        <v>147</v>
      </c>
      <c r="J123" s="116" t="s">
        <v>147</v>
      </c>
      <c r="M123" s="211"/>
      <c r="N123" s="211"/>
      <c r="O123" s="211"/>
      <c r="P123" s="211"/>
      <c r="Q123" s="211"/>
      <c r="R123" s="211"/>
      <c r="S123" s="211"/>
    </row>
    <row r="124" spans="1:19" ht="27.75" customHeight="1">
      <c r="A124" s="205" t="s">
        <v>170</v>
      </c>
      <c r="B124" s="398" t="s">
        <v>232</v>
      </c>
      <c r="C124" s="116">
        <f>'6.1. Інша інфо_1'!D12</f>
        <v>40</v>
      </c>
      <c r="D124" s="116">
        <f>'6.1. Інша інфо_1'!F12</f>
        <v>40</v>
      </c>
      <c r="E124" s="116">
        <f>'6.1. Інша інфо_1'!H12</f>
        <v>40</v>
      </c>
      <c r="F124" s="116">
        <f>'6.1. Інша інфо_1'!J12</f>
        <v>40</v>
      </c>
      <c r="G124" s="116" t="s">
        <v>147</v>
      </c>
      <c r="H124" s="116" t="s">
        <v>147</v>
      </c>
      <c r="I124" s="116" t="s">
        <v>147</v>
      </c>
      <c r="J124" s="116" t="s">
        <v>147</v>
      </c>
      <c r="M124" s="211"/>
      <c r="N124" s="211"/>
      <c r="O124" s="211"/>
      <c r="P124" s="211"/>
      <c r="Q124" s="211"/>
      <c r="R124" s="211"/>
      <c r="S124" s="211"/>
    </row>
    <row r="125" spans="1:19" ht="27.75" customHeight="1">
      <c r="A125" s="205" t="s">
        <v>162</v>
      </c>
      <c r="B125" s="398" t="s">
        <v>233</v>
      </c>
      <c r="C125" s="116">
        <f>'6.1. Інша інфо_1'!D13</f>
        <v>166</v>
      </c>
      <c r="D125" s="116">
        <f>'6.1. Інша інфо_1'!F13</f>
        <v>168</v>
      </c>
      <c r="E125" s="116">
        <f>'6.1. Інша інфо_1'!H13</f>
        <v>168</v>
      </c>
      <c r="F125" s="116">
        <f>'6.1. Інша інфо_1'!J13</f>
        <v>168</v>
      </c>
      <c r="G125" s="116" t="s">
        <v>147</v>
      </c>
      <c r="H125" s="116" t="s">
        <v>147</v>
      </c>
      <c r="I125" s="116" t="s">
        <v>147</v>
      </c>
      <c r="J125" s="116" t="s">
        <v>147</v>
      </c>
      <c r="M125" s="211"/>
      <c r="N125" s="211"/>
      <c r="O125" s="211"/>
      <c r="P125" s="211"/>
      <c r="Q125" s="211"/>
      <c r="R125" s="211"/>
      <c r="S125" s="211"/>
    </row>
    <row r="126" spans="1:19" ht="27.75" customHeight="1">
      <c r="A126" s="206" t="s">
        <v>5</v>
      </c>
      <c r="B126" s="398" t="s">
        <v>234</v>
      </c>
      <c r="C126" s="117">
        <f>'6.1. Інша інфо_1'!D18</f>
        <v>48080</v>
      </c>
      <c r="D126" s="117">
        <f>'6.1. Інша інфо_1'!F18</f>
        <v>50404</v>
      </c>
      <c r="E126" s="117">
        <f>'6.1. Інша інфо_1'!H18</f>
        <v>53540</v>
      </c>
      <c r="F126" s="117">
        <f>'6.1. Інша інфо_1'!J18</f>
        <v>58564</v>
      </c>
      <c r="G126" s="117" t="s">
        <v>147</v>
      </c>
      <c r="H126" s="117" t="s">
        <v>147</v>
      </c>
      <c r="I126" s="117" t="s">
        <v>147</v>
      </c>
      <c r="J126" s="116" t="s">
        <v>147</v>
      </c>
      <c r="M126" s="211"/>
      <c r="N126" s="211"/>
      <c r="O126" s="211"/>
      <c r="P126" s="211"/>
      <c r="Q126" s="211"/>
      <c r="R126" s="211"/>
      <c r="S126" s="211"/>
    </row>
    <row r="127" spans="1:19" s="396" customFormat="1" ht="48.75" customHeight="1">
      <c r="A127" s="209" t="s">
        <v>300</v>
      </c>
      <c r="B127" s="213" t="s">
        <v>235</v>
      </c>
      <c r="C127" s="117">
        <f>'6.1. Інша інфо_1'!D22</f>
        <v>19356</v>
      </c>
      <c r="D127" s="117">
        <f>'6.1. Інша інфо_1'!F22</f>
        <v>20097</v>
      </c>
      <c r="E127" s="117">
        <f>'6.1. Інша інфо_1'!H22</f>
        <v>21348</v>
      </c>
      <c r="F127" s="117">
        <f>'6.1. Інша інфо_1'!J22</f>
        <v>23351</v>
      </c>
      <c r="G127" s="214" t="s">
        <v>147</v>
      </c>
      <c r="H127" s="214" t="s">
        <v>147</v>
      </c>
      <c r="I127" s="214" t="s">
        <v>147</v>
      </c>
      <c r="J127" s="214" t="s">
        <v>147</v>
      </c>
      <c r="M127" s="211"/>
      <c r="N127" s="211"/>
      <c r="O127" s="211"/>
      <c r="P127" s="211"/>
      <c r="Q127" s="211"/>
      <c r="R127" s="211"/>
      <c r="S127" s="211"/>
    </row>
    <row r="128" spans="1:19" ht="27.75" customHeight="1">
      <c r="A128" s="205" t="s">
        <v>161</v>
      </c>
      <c r="B128" s="398" t="s">
        <v>236</v>
      </c>
      <c r="C128" s="116">
        <f>'6.1. Інша інфо_1'!D23</f>
        <v>36833</v>
      </c>
      <c r="D128" s="116">
        <f>'6.1. Інша інфо_1'!F23</f>
        <v>41500</v>
      </c>
      <c r="E128" s="116">
        <f>'6.1. Інша інфо_1'!H23</f>
        <v>41500</v>
      </c>
      <c r="F128" s="116">
        <f>'6.1. Інша інфо_1'!J23</f>
        <v>45583</v>
      </c>
      <c r="G128" s="116" t="s">
        <v>147</v>
      </c>
      <c r="H128" s="116" t="s">
        <v>147</v>
      </c>
      <c r="I128" s="116" t="s">
        <v>147</v>
      </c>
      <c r="J128" s="116" t="s">
        <v>147</v>
      </c>
      <c r="M128" s="211"/>
      <c r="N128" s="211"/>
      <c r="O128" s="211"/>
      <c r="P128" s="211"/>
      <c r="Q128" s="211"/>
      <c r="R128" s="211"/>
      <c r="S128" s="211"/>
    </row>
    <row r="129" spans="1:19" ht="27.75" customHeight="1">
      <c r="A129" s="205" t="s">
        <v>170</v>
      </c>
      <c r="B129" s="398" t="s">
        <v>237</v>
      </c>
      <c r="C129" s="116">
        <f>'6.1. Інша інфо_1'!D24</f>
        <v>28117</v>
      </c>
      <c r="D129" s="116">
        <f>'6.1. Інша інфо_1'!F24</f>
        <v>29688</v>
      </c>
      <c r="E129" s="116">
        <f>'6.1. Інша інфо_1'!H24</f>
        <v>31823</v>
      </c>
      <c r="F129" s="116">
        <f>'6.1. Інша інфо_1'!J24</f>
        <v>34969</v>
      </c>
      <c r="G129" s="116" t="s">
        <v>147</v>
      </c>
      <c r="H129" s="116" t="s">
        <v>147</v>
      </c>
      <c r="I129" s="116" t="s">
        <v>147</v>
      </c>
      <c r="J129" s="116" t="s">
        <v>147</v>
      </c>
      <c r="M129" s="211"/>
      <c r="N129" s="211"/>
      <c r="O129" s="211"/>
      <c r="P129" s="211"/>
      <c r="Q129" s="211"/>
      <c r="R129" s="211"/>
      <c r="S129" s="211"/>
    </row>
    <row r="130" spans="1:19" ht="27.75" customHeight="1">
      <c r="A130" s="205" t="s">
        <v>162</v>
      </c>
      <c r="B130" s="398" t="s">
        <v>238</v>
      </c>
      <c r="C130" s="116">
        <f>'6.1. Інша інфо_1'!D25</f>
        <v>17140</v>
      </c>
      <c r="D130" s="116">
        <f>'6.1. Інша інфо_1'!F25</f>
        <v>17687</v>
      </c>
      <c r="E130" s="116">
        <f>'6.1. Інша інфо_1'!H25</f>
        <v>18734</v>
      </c>
      <c r="F130" s="116">
        <f>'6.1. Інша інфо_1'!J25</f>
        <v>20452</v>
      </c>
      <c r="G130" s="116" t="s">
        <v>147</v>
      </c>
      <c r="H130" s="116" t="s">
        <v>147</v>
      </c>
      <c r="I130" s="116" t="s">
        <v>147</v>
      </c>
      <c r="J130" s="116" t="s">
        <v>147</v>
      </c>
      <c r="M130" s="211"/>
      <c r="N130" s="211"/>
      <c r="O130" s="211"/>
      <c r="P130" s="211"/>
      <c r="Q130" s="211"/>
      <c r="R130" s="211"/>
      <c r="S130" s="211"/>
    </row>
    <row r="131" spans="1:19" s="396" customFormat="1">
      <c r="A131" s="215"/>
      <c r="C131" s="216"/>
      <c r="D131" s="217"/>
      <c r="E131" s="217"/>
      <c r="F131" s="217"/>
      <c r="G131" s="218"/>
      <c r="H131" s="218"/>
      <c r="I131" s="218"/>
      <c r="J131" s="218"/>
    </row>
    <row r="132" spans="1:19" s="422" customFormat="1" ht="23.25" customHeight="1">
      <c r="A132" s="421" t="s">
        <v>479</v>
      </c>
      <c r="B132" s="137"/>
      <c r="C132" s="507" t="s">
        <v>84</v>
      </c>
      <c r="D132" s="508"/>
      <c r="E132" s="508"/>
      <c r="F132" s="508"/>
      <c r="G132" s="138"/>
      <c r="H132" s="509" t="s">
        <v>546</v>
      </c>
      <c r="I132" s="509"/>
      <c r="J132" s="509"/>
    </row>
    <row r="133" spans="1:19" s="403" customFormat="1" ht="18">
      <c r="A133" s="403" t="s">
        <v>68</v>
      </c>
      <c r="B133" s="1"/>
      <c r="C133" s="505" t="s">
        <v>69</v>
      </c>
      <c r="D133" s="505"/>
      <c r="E133" s="505"/>
      <c r="F133" s="505"/>
      <c r="G133" s="219"/>
      <c r="H133" s="506" t="s">
        <v>82</v>
      </c>
      <c r="I133" s="506"/>
      <c r="J133" s="506"/>
    </row>
    <row r="134" spans="1:19" s="396" customFormat="1">
      <c r="A134" s="4"/>
      <c r="F134" s="400"/>
      <c r="G134" s="400"/>
      <c r="H134" s="400"/>
      <c r="I134" s="400"/>
      <c r="J134" s="400"/>
    </row>
    <row r="135" spans="1:19" s="396" customFormat="1">
      <c r="A135" s="4"/>
      <c r="F135" s="400"/>
      <c r="G135" s="400"/>
      <c r="H135" s="400"/>
      <c r="I135" s="400"/>
      <c r="J135" s="400"/>
    </row>
    <row r="136" spans="1:19" s="396" customFormat="1">
      <c r="A136" s="4"/>
      <c r="F136" s="400"/>
      <c r="G136" s="400"/>
      <c r="H136" s="400"/>
      <c r="I136" s="400"/>
      <c r="J136" s="400"/>
    </row>
    <row r="137" spans="1:19" s="396" customFormat="1">
      <c r="A137" s="4"/>
      <c r="F137" s="400"/>
      <c r="G137" s="400"/>
      <c r="H137" s="400"/>
      <c r="I137" s="400"/>
      <c r="J137" s="400"/>
    </row>
    <row r="138" spans="1:19" s="396" customFormat="1">
      <c r="A138" s="4"/>
      <c r="F138" s="400"/>
      <c r="G138" s="400"/>
      <c r="H138" s="400"/>
      <c r="I138" s="400"/>
      <c r="J138" s="400"/>
    </row>
    <row r="139" spans="1:19" s="396" customFormat="1">
      <c r="A139" s="4"/>
      <c r="F139" s="400"/>
      <c r="G139" s="400"/>
      <c r="H139" s="400"/>
      <c r="I139" s="400"/>
      <c r="J139" s="400"/>
    </row>
    <row r="140" spans="1:19" s="396" customFormat="1">
      <c r="A140" s="4"/>
      <c r="F140" s="400"/>
      <c r="G140" s="400"/>
      <c r="H140" s="400"/>
      <c r="I140" s="400"/>
      <c r="J140" s="400"/>
    </row>
    <row r="141" spans="1:19" s="396" customFormat="1">
      <c r="A141" s="4"/>
      <c r="F141" s="400"/>
      <c r="G141" s="400"/>
      <c r="H141" s="400"/>
      <c r="I141" s="400"/>
      <c r="J141" s="400"/>
    </row>
    <row r="142" spans="1:19" s="396" customFormat="1">
      <c r="A142" s="4"/>
      <c r="F142" s="400"/>
      <c r="G142" s="400"/>
      <c r="H142" s="400"/>
      <c r="I142" s="400"/>
      <c r="J142" s="400"/>
    </row>
    <row r="143" spans="1:19" s="396" customFormat="1">
      <c r="A143" s="4"/>
      <c r="F143" s="400"/>
      <c r="G143" s="400"/>
      <c r="H143" s="400"/>
      <c r="I143" s="400"/>
      <c r="J143" s="400"/>
    </row>
    <row r="144" spans="1:19" s="396" customFormat="1">
      <c r="A144" s="4"/>
      <c r="F144" s="400"/>
      <c r="G144" s="400"/>
      <c r="H144" s="400"/>
      <c r="I144" s="400"/>
      <c r="J144" s="400"/>
    </row>
    <row r="145" spans="1:10" s="396" customFormat="1">
      <c r="A145" s="4"/>
      <c r="F145" s="400"/>
      <c r="G145" s="400"/>
      <c r="H145" s="400"/>
      <c r="I145" s="400"/>
      <c r="J145" s="400"/>
    </row>
    <row r="146" spans="1:10" s="396" customFormat="1">
      <c r="A146" s="4"/>
      <c r="F146" s="400"/>
      <c r="G146" s="400"/>
      <c r="H146" s="400"/>
      <c r="I146" s="400"/>
      <c r="J146" s="400"/>
    </row>
    <row r="147" spans="1:10" s="396" customFormat="1">
      <c r="A147" s="4"/>
      <c r="F147" s="400"/>
      <c r="G147" s="400"/>
      <c r="H147" s="400"/>
      <c r="I147" s="400"/>
      <c r="J147" s="400"/>
    </row>
    <row r="148" spans="1:10" s="396" customFormat="1">
      <c r="A148" s="4"/>
      <c r="F148" s="400"/>
      <c r="G148" s="400"/>
      <c r="H148" s="400"/>
      <c r="I148" s="400"/>
      <c r="J148" s="400"/>
    </row>
    <row r="149" spans="1:10" s="396" customFormat="1">
      <c r="A149" s="4"/>
      <c r="F149" s="400"/>
      <c r="G149" s="400"/>
      <c r="H149" s="400"/>
      <c r="I149" s="400"/>
      <c r="J149" s="400"/>
    </row>
    <row r="150" spans="1:10" s="396" customFormat="1">
      <c r="A150" s="4"/>
      <c r="F150" s="400"/>
      <c r="G150" s="400"/>
      <c r="H150" s="400"/>
      <c r="I150" s="400"/>
      <c r="J150" s="400"/>
    </row>
    <row r="151" spans="1:10" s="396" customFormat="1">
      <c r="A151" s="4"/>
      <c r="F151" s="400"/>
      <c r="G151" s="400"/>
      <c r="H151" s="400"/>
      <c r="I151" s="400"/>
      <c r="J151" s="400"/>
    </row>
    <row r="152" spans="1:10" s="396" customFormat="1">
      <c r="A152" s="4"/>
      <c r="F152" s="400"/>
      <c r="G152" s="400"/>
      <c r="H152" s="400"/>
      <c r="I152" s="400"/>
      <c r="J152" s="400"/>
    </row>
    <row r="153" spans="1:10" s="396" customFormat="1">
      <c r="A153" s="4"/>
      <c r="F153" s="400"/>
      <c r="G153" s="400"/>
      <c r="H153" s="400"/>
      <c r="I153" s="400"/>
      <c r="J153" s="400"/>
    </row>
    <row r="154" spans="1:10" s="396" customFormat="1">
      <c r="A154" s="4"/>
      <c r="F154" s="400"/>
      <c r="G154" s="400"/>
      <c r="H154" s="400"/>
      <c r="I154" s="400"/>
      <c r="J154" s="400"/>
    </row>
    <row r="155" spans="1:10" s="396" customFormat="1">
      <c r="A155" s="4"/>
      <c r="F155" s="400"/>
      <c r="G155" s="400"/>
      <c r="H155" s="400"/>
      <c r="I155" s="400"/>
      <c r="J155" s="400"/>
    </row>
    <row r="156" spans="1:10" s="396" customFormat="1">
      <c r="A156" s="4"/>
      <c r="F156" s="400"/>
      <c r="G156" s="400"/>
      <c r="H156" s="400"/>
      <c r="I156" s="400"/>
      <c r="J156" s="400"/>
    </row>
    <row r="157" spans="1:10" s="396" customFormat="1">
      <c r="A157" s="4"/>
      <c r="F157" s="400"/>
      <c r="G157" s="400"/>
      <c r="H157" s="400"/>
      <c r="I157" s="400"/>
      <c r="J157" s="400"/>
    </row>
    <row r="158" spans="1:10" s="396" customFormat="1">
      <c r="A158" s="4"/>
      <c r="F158" s="400"/>
      <c r="G158" s="400"/>
      <c r="H158" s="400"/>
      <c r="I158" s="400"/>
      <c r="J158" s="400"/>
    </row>
    <row r="159" spans="1:10" s="396" customFormat="1">
      <c r="A159" s="4"/>
      <c r="F159" s="400"/>
      <c r="G159" s="400"/>
      <c r="H159" s="400"/>
      <c r="I159" s="400"/>
      <c r="J159" s="400"/>
    </row>
    <row r="160" spans="1:10" s="396" customFormat="1">
      <c r="A160" s="4"/>
      <c r="F160" s="400"/>
      <c r="G160" s="400"/>
      <c r="H160" s="400"/>
      <c r="I160" s="400"/>
      <c r="J160" s="400"/>
    </row>
    <row r="161" spans="1:10" s="396" customFormat="1">
      <c r="A161" s="4"/>
      <c r="F161" s="400"/>
      <c r="G161" s="400"/>
      <c r="H161" s="400"/>
      <c r="I161" s="400"/>
      <c r="J161" s="400"/>
    </row>
    <row r="162" spans="1:10" s="396" customFormat="1">
      <c r="A162" s="4"/>
      <c r="F162" s="400"/>
      <c r="G162" s="400"/>
      <c r="H162" s="400"/>
      <c r="I162" s="400"/>
      <c r="J162" s="400"/>
    </row>
    <row r="163" spans="1:10" s="396" customFormat="1">
      <c r="A163" s="4"/>
      <c r="F163" s="400"/>
      <c r="G163" s="400"/>
      <c r="H163" s="400"/>
      <c r="I163" s="400"/>
      <c r="J163" s="400"/>
    </row>
    <row r="164" spans="1:10" s="396" customFormat="1">
      <c r="A164" s="4"/>
      <c r="F164" s="400"/>
      <c r="G164" s="400"/>
      <c r="H164" s="400"/>
      <c r="I164" s="400"/>
      <c r="J164" s="400"/>
    </row>
    <row r="165" spans="1:10" s="396" customFormat="1">
      <c r="A165" s="4"/>
      <c r="F165" s="400"/>
      <c r="G165" s="400"/>
      <c r="H165" s="400"/>
      <c r="I165" s="400"/>
      <c r="J165" s="400"/>
    </row>
    <row r="166" spans="1:10" s="396" customFormat="1">
      <c r="A166" s="4"/>
      <c r="F166" s="400"/>
      <c r="G166" s="400"/>
      <c r="H166" s="400"/>
      <c r="I166" s="400"/>
      <c r="J166" s="400"/>
    </row>
    <row r="167" spans="1:10" s="396" customFormat="1">
      <c r="A167" s="4"/>
      <c r="F167" s="400"/>
      <c r="G167" s="400"/>
      <c r="H167" s="400"/>
      <c r="I167" s="400"/>
      <c r="J167" s="400"/>
    </row>
    <row r="168" spans="1:10" s="396" customFormat="1">
      <c r="A168" s="4"/>
      <c r="F168" s="400"/>
      <c r="G168" s="400"/>
      <c r="H168" s="400"/>
      <c r="I168" s="400"/>
      <c r="J168" s="400"/>
    </row>
    <row r="169" spans="1:10" s="396" customFormat="1">
      <c r="A169" s="4"/>
      <c r="F169" s="400"/>
      <c r="G169" s="400"/>
      <c r="H169" s="400"/>
      <c r="I169" s="400"/>
      <c r="J169" s="400"/>
    </row>
    <row r="170" spans="1:10" s="396" customFormat="1">
      <c r="A170" s="4"/>
      <c r="F170" s="400"/>
      <c r="G170" s="400"/>
      <c r="H170" s="400"/>
      <c r="I170" s="400"/>
      <c r="J170" s="400"/>
    </row>
    <row r="171" spans="1:10" s="396" customFormat="1">
      <c r="A171" s="4"/>
      <c r="F171" s="400"/>
      <c r="G171" s="400"/>
      <c r="H171" s="400"/>
      <c r="I171" s="400"/>
      <c r="J171" s="400"/>
    </row>
    <row r="172" spans="1:10" s="396" customFormat="1">
      <c r="A172" s="4"/>
      <c r="F172" s="400"/>
      <c r="G172" s="400"/>
      <c r="H172" s="400"/>
      <c r="I172" s="400"/>
      <c r="J172" s="400"/>
    </row>
    <row r="173" spans="1:10" s="396" customFormat="1">
      <c r="A173" s="4"/>
      <c r="F173" s="400"/>
      <c r="G173" s="400"/>
      <c r="H173" s="400"/>
      <c r="I173" s="400"/>
      <c r="J173" s="400"/>
    </row>
    <row r="174" spans="1:10" s="396" customFormat="1">
      <c r="A174" s="4"/>
      <c r="F174" s="400"/>
      <c r="G174" s="400"/>
      <c r="H174" s="400"/>
      <c r="I174" s="400"/>
      <c r="J174" s="400"/>
    </row>
    <row r="175" spans="1:10" s="396" customFormat="1">
      <c r="A175" s="4"/>
      <c r="F175" s="400"/>
      <c r="G175" s="400"/>
      <c r="H175" s="400"/>
      <c r="I175" s="400"/>
      <c r="J175" s="400"/>
    </row>
    <row r="176" spans="1:10" s="396" customFormat="1">
      <c r="A176" s="4"/>
      <c r="F176" s="400"/>
      <c r="G176" s="400"/>
      <c r="H176" s="400"/>
      <c r="I176" s="400"/>
      <c r="J176" s="400"/>
    </row>
    <row r="177" spans="1:10" s="396" customFormat="1">
      <c r="A177" s="4"/>
      <c r="F177" s="400"/>
      <c r="G177" s="400"/>
      <c r="H177" s="400"/>
      <c r="I177" s="400"/>
      <c r="J177" s="400"/>
    </row>
    <row r="178" spans="1:10" s="396" customFormat="1">
      <c r="A178" s="4"/>
      <c r="F178" s="400"/>
      <c r="G178" s="400"/>
      <c r="H178" s="400"/>
      <c r="I178" s="400"/>
      <c r="J178" s="400"/>
    </row>
    <row r="179" spans="1:10" s="396" customFormat="1">
      <c r="A179" s="4"/>
      <c r="F179" s="400"/>
      <c r="G179" s="400"/>
      <c r="H179" s="400"/>
      <c r="I179" s="400"/>
      <c r="J179" s="400"/>
    </row>
    <row r="180" spans="1:10" s="396" customFormat="1">
      <c r="A180" s="4"/>
      <c r="F180" s="400"/>
      <c r="G180" s="400"/>
      <c r="H180" s="400"/>
      <c r="I180" s="400"/>
      <c r="J180" s="400"/>
    </row>
    <row r="181" spans="1:10" s="396" customFormat="1">
      <c r="A181" s="4"/>
      <c r="F181" s="400"/>
      <c r="G181" s="400"/>
      <c r="H181" s="400"/>
      <c r="I181" s="400"/>
      <c r="J181" s="400"/>
    </row>
    <row r="182" spans="1:10" s="396" customFormat="1">
      <c r="A182" s="4"/>
      <c r="F182" s="400"/>
      <c r="G182" s="400"/>
      <c r="H182" s="400"/>
      <c r="I182" s="400"/>
      <c r="J182" s="400"/>
    </row>
    <row r="183" spans="1:10" s="396" customFormat="1">
      <c r="A183" s="4"/>
      <c r="F183" s="400"/>
      <c r="G183" s="400"/>
      <c r="H183" s="400"/>
      <c r="I183" s="400"/>
      <c r="J183" s="400"/>
    </row>
    <row r="184" spans="1:10" s="396" customFormat="1">
      <c r="A184" s="4"/>
      <c r="F184" s="400"/>
      <c r="G184" s="400"/>
      <c r="H184" s="400"/>
      <c r="I184" s="400"/>
      <c r="J184" s="400"/>
    </row>
    <row r="185" spans="1:10" s="396" customFormat="1">
      <c r="A185" s="4"/>
      <c r="F185" s="400"/>
      <c r="G185" s="400"/>
      <c r="H185" s="400"/>
      <c r="I185" s="400"/>
      <c r="J185" s="400"/>
    </row>
    <row r="186" spans="1:10" s="396" customFormat="1">
      <c r="A186" s="4"/>
      <c r="F186" s="400"/>
      <c r="G186" s="400"/>
      <c r="H186" s="400"/>
      <c r="I186" s="400"/>
      <c r="J186" s="400"/>
    </row>
    <row r="187" spans="1:10" s="396" customFormat="1">
      <c r="A187" s="4"/>
      <c r="F187" s="400"/>
      <c r="G187" s="400"/>
      <c r="H187" s="400"/>
      <c r="I187" s="400"/>
      <c r="J187" s="400"/>
    </row>
    <row r="188" spans="1:10" s="396" customFormat="1">
      <c r="A188" s="4"/>
      <c r="F188" s="400"/>
      <c r="G188" s="400"/>
      <c r="H188" s="400"/>
      <c r="I188" s="400"/>
      <c r="J188" s="400"/>
    </row>
    <row r="189" spans="1:10" s="396" customFormat="1">
      <c r="A189" s="4"/>
      <c r="F189" s="400"/>
      <c r="G189" s="400"/>
      <c r="H189" s="400"/>
      <c r="I189" s="400"/>
      <c r="J189" s="400"/>
    </row>
    <row r="190" spans="1:10" s="396" customFormat="1">
      <c r="A190" s="4"/>
      <c r="F190" s="400"/>
      <c r="G190" s="400"/>
      <c r="H190" s="400"/>
      <c r="I190" s="400"/>
      <c r="J190" s="400"/>
    </row>
    <row r="191" spans="1:10" s="396" customFormat="1">
      <c r="A191" s="4"/>
      <c r="F191" s="400"/>
      <c r="G191" s="400"/>
      <c r="H191" s="400"/>
      <c r="I191" s="400"/>
      <c r="J191" s="400"/>
    </row>
    <row r="192" spans="1:10" s="396" customFormat="1">
      <c r="A192" s="4"/>
      <c r="F192" s="400"/>
      <c r="G192" s="400"/>
      <c r="H192" s="400"/>
      <c r="I192" s="400"/>
      <c r="J192" s="400"/>
    </row>
    <row r="193" spans="1:10" s="396" customFormat="1">
      <c r="A193" s="4"/>
      <c r="F193" s="400"/>
      <c r="G193" s="400"/>
      <c r="H193" s="400"/>
      <c r="I193" s="400"/>
      <c r="J193" s="400"/>
    </row>
    <row r="194" spans="1:10" s="396" customFormat="1">
      <c r="A194" s="4"/>
      <c r="F194" s="400"/>
      <c r="G194" s="400"/>
      <c r="H194" s="400"/>
      <c r="I194" s="400"/>
      <c r="J194" s="400"/>
    </row>
    <row r="195" spans="1:10" s="396" customFormat="1">
      <c r="A195" s="4"/>
      <c r="F195" s="400"/>
      <c r="G195" s="400"/>
      <c r="H195" s="400"/>
      <c r="I195" s="400"/>
      <c r="J195" s="400"/>
    </row>
    <row r="196" spans="1:10" s="396" customFormat="1">
      <c r="A196" s="4"/>
      <c r="F196" s="400"/>
      <c r="G196" s="400"/>
      <c r="H196" s="400"/>
      <c r="I196" s="400"/>
      <c r="J196" s="400"/>
    </row>
    <row r="197" spans="1:10" s="396" customFormat="1">
      <c r="A197" s="4"/>
      <c r="F197" s="400"/>
      <c r="G197" s="400"/>
      <c r="H197" s="400"/>
      <c r="I197" s="400"/>
      <c r="J197" s="400"/>
    </row>
    <row r="198" spans="1:10" s="396" customFormat="1">
      <c r="A198" s="4"/>
      <c r="F198" s="400"/>
      <c r="G198" s="400"/>
      <c r="H198" s="400"/>
      <c r="I198" s="400"/>
      <c r="J198" s="400"/>
    </row>
    <row r="199" spans="1:10" s="396" customFormat="1">
      <c r="A199" s="4"/>
      <c r="F199" s="400"/>
      <c r="G199" s="400"/>
      <c r="H199" s="400"/>
      <c r="I199" s="400"/>
      <c r="J199" s="400"/>
    </row>
    <row r="200" spans="1:10" s="396" customFormat="1">
      <c r="A200" s="4"/>
      <c r="F200" s="400"/>
      <c r="G200" s="400"/>
      <c r="H200" s="400"/>
      <c r="I200" s="400"/>
      <c r="J200" s="400"/>
    </row>
    <row r="201" spans="1:10" s="396" customFormat="1">
      <c r="A201" s="4"/>
      <c r="F201" s="400"/>
      <c r="G201" s="400"/>
      <c r="H201" s="400"/>
      <c r="I201" s="400"/>
      <c r="J201" s="400"/>
    </row>
    <row r="202" spans="1:10" s="396" customFormat="1">
      <c r="A202" s="4"/>
      <c r="F202" s="400"/>
      <c r="G202" s="400"/>
      <c r="H202" s="400"/>
      <c r="I202" s="400"/>
      <c r="J202" s="400"/>
    </row>
    <row r="203" spans="1:10" s="396" customFormat="1">
      <c r="A203" s="4"/>
      <c r="F203" s="400"/>
      <c r="G203" s="400"/>
      <c r="H203" s="400"/>
      <c r="I203" s="400"/>
      <c r="J203" s="400"/>
    </row>
    <row r="204" spans="1:10" s="396" customFormat="1">
      <c r="A204" s="4"/>
      <c r="F204" s="400"/>
      <c r="G204" s="400"/>
      <c r="H204" s="400"/>
      <c r="I204" s="400"/>
      <c r="J204" s="400"/>
    </row>
    <row r="205" spans="1:10" s="396" customFormat="1">
      <c r="A205" s="4"/>
      <c r="F205" s="400"/>
      <c r="G205" s="400"/>
      <c r="H205" s="400"/>
      <c r="I205" s="400"/>
      <c r="J205" s="400"/>
    </row>
    <row r="206" spans="1:10" s="396" customFormat="1">
      <c r="A206" s="4"/>
      <c r="F206" s="400"/>
      <c r="G206" s="400"/>
      <c r="H206" s="400"/>
      <c r="I206" s="400"/>
      <c r="J206" s="400"/>
    </row>
    <row r="207" spans="1:10" s="396" customFormat="1">
      <c r="A207" s="4"/>
      <c r="F207" s="400"/>
      <c r="G207" s="400"/>
      <c r="H207" s="400"/>
      <c r="I207" s="400"/>
      <c r="J207" s="400"/>
    </row>
    <row r="208" spans="1:10" s="396" customFormat="1">
      <c r="A208" s="4"/>
      <c r="F208" s="400"/>
      <c r="G208" s="400"/>
      <c r="H208" s="400"/>
      <c r="I208" s="400"/>
      <c r="J208" s="400"/>
    </row>
    <row r="209" spans="1:10" s="396" customFormat="1">
      <c r="A209" s="4"/>
      <c r="F209" s="400"/>
      <c r="G209" s="400"/>
      <c r="H209" s="400"/>
      <c r="I209" s="400"/>
      <c r="J209" s="400"/>
    </row>
    <row r="210" spans="1:10" s="396" customFormat="1">
      <c r="A210" s="4"/>
      <c r="F210" s="400"/>
      <c r="G210" s="400"/>
      <c r="H210" s="400"/>
      <c r="I210" s="400"/>
      <c r="J210" s="400"/>
    </row>
    <row r="211" spans="1:10" s="396" customFormat="1">
      <c r="A211" s="4"/>
      <c r="F211" s="400"/>
      <c r="G211" s="400"/>
      <c r="H211" s="400"/>
      <c r="I211" s="400"/>
      <c r="J211" s="400"/>
    </row>
    <row r="212" spans="1:10" s="396" customFormat="1">
      <c r="A212" s="4"/>
      <c r="F212" s="400"/>
      <c r="G212" s="400"/>
      <c r="H212" s="400"/>
      <c r="I212" s="400"/>
      <c r="J212" s="400"/>
    </row>
    <row r="213" spans="1:10" s="396" customFormat="1">
      <c r="A213" s="4"/>
      <c r="F213" s="400"/>
      <c r="G213" s="400"/>
      <c r="H213" s="400"/>
      <c r="I213" s="400"/>
      <c r="J213" s="400"/>
    </row>
    <row r="214" spans="1:10" s="396" customFormat="1">
      <c r="A214" s="4"/>
      <c r="F214" s="400"/>
      <c r="G214" s="400"/>
      <c r="H214" s="400"/>
      <c r="I214" s="400"/>
      <c r="J214" s="400"/>
    </row>
    <row r="215" spans="1:10" s="396" customFormat="1">
      <c r="A215" s="4"/>
      <c r="F215" s="400"/>
      <c r="G215" s="400"/>
      <c r="H215" s="400"/>
      <c r="I215" s="400"/>
      <c r="J215" s="400"/>
    </row>
    <row r="216" spans="1:10" s="396" customFormat="1">
      <c r="A216" s="4"/>
      <c r="F216" s="400"/>
      <c r="G216" s="400"/>
      <c r="H216" s="400"/>
      <c r="I216" s="400"/>
      <c r="J216" s="400"/>
    </row>
    <row r="217" spans="1:10" s="396" customFormat="1">
      <c r="A217" s="4"/>
      <c r="F217" s="400"/>
      <c r="G217" s="400"/>
      <c r="H217" s="400"/>
      <c r="I217" s="400"/>
      <c r="J217" s="400"/>
    </row>
    <row r="218" spans="1:10" s="396" customFormat="1">
      <c r="A218" s="4"/>
      <c r="F218" s="400"/>
      <c r="G218" s="400"/>
      <c r="H218" s="400"/>
      <c r="I218" s="400"/>
      <c r="J218" s="400"/>
    </row>
    <row r="219" spans="1:10" s="396" customFormat="1">
      <c r="A219" s="4"/>
      <c r="F219" s="400"/>
      <c r="G219" s="400"/>
      <c r="H219" s="400"/>
      <c r="I219" s="400"/>
      <c r="J219" s="400"/>
    </row>
    <row r="220" spans="1:10" s="396" customFormat="1">
      <c r="A220" s="4"/>
      <c r="F220" s="400"/>
      <c r="G220" s="400"/>
      <c r="H220" s="400"/>
      <c r="I220" s="400"/>
      <c r="J220" s="400"/>
    </row>
    <row r="221" spans="1:10" s="396" customFormat="1">
      <c r="A221" s="4"/>
      <c r="F221" s="400"/>
      <c r="G221" s="400"/>
      <c r="H221" s="400"/>
      <c r="I221" s="400"/>
      <c r="J221" s="400"/>
    </row>
    <row r="222" spans="1:10" s="396" customFormat="1">
      <c r="A222" s="4"/>
      <c r="F222" s="400"/>
      <c r="G222" s="400"/>
      <c r="H222" s="400"/>
      <c r="I222" s="400"/>
      <c r="J222" s="400"/>
    </row>
    <row r="223" spans="1:10" s="396" customFormat="1">
      <c r="A223" s="4"/>
      <c r="F223" s="400"/>
      <c r="G223" s="400"/>
      <c r="H223" s="400"/>
      <c r="I223" s="400"/>
      <c r="J223" s="400"/>
    </row>
    <row r="224" spans="1:10" s="396" customFormat="1">
      <c r="A224" s="4"/>
      <c r="F224" s="400"/>
      <c r="G224" s="400"/>
      <c r="H224" s="400"/>
      <c r="I224" s="400"/>
      <c r="J224" s="400"/>
    </row>
    <row r="225" spans="1:10" s="396" customFormat="1">
      <c r="A225" s="4"/>
      <c r="F225" s="400"/>
      <c r="G225" s="400"/>
      <c r="H225" s="400"/>
      <c r="I225" s="400"/>
      <c r="J225" s="400"/>
    </row>
    <row r="226" spans="1:10" s="396" customFormat="1">
      <c r="A226" s="4"/>
      <c r="F226" s="400"/>
      <c r="G226" s="400"/>
      <c r="H226" s="400"/>
      <c r="I226" s="400"/>
      <c r="J226" s="400"/>
    </row>
    <row r="227" spans="1:10" s="396" customFormat="1">
      <c r="A227" s="4"/>
      <c r="F227" s="400"/>
      <c r="G227" s="400"/>
      <c r="H227" s="400"/>
      <c r="I227" s="400"/>
      <c r="J227" s="400"/>
    </row>
    <row r="228" spans="1:10" s="396" customFormat="1">
      <c r="A228" s="4"/>
      <c r="F228" s="400"/>
      <c r="G228" s="400"/>
      <c r="H228" s="400"/>
      <c r="I228" s="400"/>
      <c r="J228" s="400"/>
    </row>
    <row r="229" spans="1:10" s="396" customFormat="1">
      <c r="A229" s="4"/>
      <c r="F229" s="400"/>
      <c r="G229" s="400"/>
      <c r="H229" s="400"/>
      <c r="I229" s="400"/>
      <c r="J229" s="400"/>
    </row>
    <row r="230" spans="1:10" s="396" customFormat="1">
      <c r="A230" s="4"/>
      <c r="F230" s="400"/>
      <c r="G230" s="400"/>
      <c r="H230" s="400"/>
      <c r="I230" s="400"/>
      <c r="J230" s="400"/>
    </row>
    <row r="231" spans="1:10" s="396" customFormat="1">
      <c r="A231" s="4"/>
      <c r="F231" s="400"/>
      <c r="G231" s="400"/>
      <c r="H231" s="400"/>
      <c r="I231" s="400"/>
      <c r="J231" s="400"/>
    </row>
    <row r="232" spans="1:10" s="396" customFormat="1">
      <c r="A232" s="4"/>
      <c r="F232" s="400"/>
      <c r="G232" s="400"/>
      <c r="H232" s="400"/>
      <c r="I232" s="400"/>
      <c r="J232" s="400"/>
    </row>
    <row r="233" spans="1:10" s="396" customFormat="1">
      <c r="A233" s="4"/>
      <c r="F233" s="400"/>
      <c r="G233" s="400"/>
      <c r="H233" s="400"/>
      <c r="I233" s="400"/>
      <c r="J233" s="400"/>
    </row>
    <row r="234" spans="1:10" s="396" customFormat="1">
      <c r="A234" s="4"/>
      <c r="F234" s="400"/>
      <c r="G234" s="400"/>
      <c r="H234" s="400"/>
      <c r="I234" s="400"/>
      <c r="J234" s="400"/>
    </row>
    <row r="235" spans="1:10" s="396" customFormat="1">
      <c r="A235" s="4"/>
      <c r="F235" s="400"/>
      <c r="G235" s="400"/>
      <c r="H235" s="400"/>
      <c r="I235" s="400"/>
      <c r="J235" s="400"/>
    </row>
    <row r="236" spans="1:10" s="396" customFormat="1">
      <c r="A236" s="4"/>
      <c r="F236" s="400"/>
      <c r="G236" s="400"/>
      <c r="H236" s="400"/>
      <c r="I236" s="400"/>
      <c r="J236" s="400"/>
    </row>
    <row r="237" spans="1:10" s="396" customFormat="1">
      <c r="A237" s="4"/>
      <c r="F237" s="400"/>
      <c r="G237" s="400"/>
      <c r="H237" s="400"/>
      <c r="I237" s="400"/>
      <c r="J237" s="400"/>
    </row>
    <row r="238" spans="1:10" s="396" customFormat="1">
      <c r="A238" s="4"/>
      <c r="F238" s="400"/>
      <c r="G238" s="400"/>
      <c r="H238" s="400"/>
      <c r="I238" s="400"/>
      <c r="J238" s="400"/>
    </row>
    <row r="239" spans="1:10" s="396" customFormat="1">
      <c r="A239" s="4"/>
      <c r="F239" s="400"/>
      <c r="G239" s="400"/>
      <c r="H239" s="400"/>
      <c r="I239" s="400"/>
      <c r="J239" s="400"/>
    </row>
    <row r="240" spans="1:10" s="396" customFormat="1">
      <c r="A240" s="4"/>
      <c r="F240" s="400"/>
      <c r="G240" s="400"/>
      <c r="H240" s="400"/>
      <c r="I240" s="400"/>
      <c r="J240" s="400"/>
    </row>
    <row r="241" spans="1:10" s="396" customFormat="1">
      <c r="A241" s="4"/>
      <c r="F241" s="400"/>
      <c r="G241" s="400"/>
      <c r="H241" s="400"/>
      <c r="I241" s="400"/>
      <c r="J241" s="400"/>
    </row>
    <row r="242" spans="1:10" s="396" customFormat="1">
      <c r="A242" s="4"/>
      <c r="F242" s="400"/>
      <c r="G242" s="400"/>
      <c r="H242" s="400"/>
      <c r="I242" s="400"/>
      <c r="J242" s="400"/>
    </row>
    <row r="243" spans="1:10" s="396" customFormat="1">
      <c r="A243" s="4"/>
      <c r="F243" s="400"/>
      <c r="G243" s="400"/>
      <c r="H243" s="400"/>
      <c r="I243" s="400"/>
      <c r="J243" s="400"/>
    </row>
    <row r="244" spans="1:10" s="396" customFormat="1">
      <c r="A244" s="4"/>
      <c r="F244" s="400"/>
      <c r="G244" s="400"/>
      <c r="H244" s="400"/>
      <c r="I244" s="400"/>
      <c r="J244" s="400"/>
    </row>
    <row r="245" spans="1:10" s="396" customFormat="1">
      <c r="A245" s="4"/>
      <c r="F245" s="400"/>
      <c r="G245" s="400"/>
      <c r="H245" s="400"/>
      <c r="I245" s="400"/>
      <c r="J245" s="400"/>
    </row>
    <row r="246" spans="1:10" s="396" customFormat="1">
      <c r="A246" s="4"/>
      <c r="F246" s="400"/>
      <c r="G246" s="400"/>
      <c r="H246" s="400"/>
      <c r="I246" s="400"/>
      <c r="J246" s="400"/>
    </row>
    <row r="247" spans="1:10" s="396" customFormat="1">
      <c r="A247" s="4"/>
      <c r="F247" s="400"/>
      <c r="G247" s="400"/>
      <c r="H247" s="400"/>
      <c r="I247" s="400"/>
      <c r="J247" s="400"/>
    </row>
    <row r="248" spans="1:10" s="396" customFormat="1">
      <c r="A248" s="4"/>
      <c r="F248" s="400"/>
      <c r="G248" s="400"/>
      <c r="H248" s="400"/>
      <c r="I248" s="400"/>
      <c r="J248" s="400"/>
    </row>
    <row r="249" spans="1:10" s="396" customFormat="1">
      <c r="A249" s="4"/>
      <c r="F249" s="400"/>
      <c r="G249" s="400"/>
      <c r="H249" s="400"/>
      <c r="I249" s="400"/>
      <c r="J249" s="400"/>
    </row>
    <row r="250" spans="1:10" s="396" customFormat="1">
      <c r="A250" s="4"/>
      <c r="F250" s="400"/>
      <c r="G250" s="400"/>
      <c r="H250" s="400"/>
      <c r="I250" s="400"/>
      <c r="J250" s="400"/>
    </row>
    <row r="251" spans="1:10" s="396" customFormat="1">
      <c r="A251" s="4"/>
      <c r="F251" s="400"/>
      <c r="G251" s="400"/>
      <c r="H251" s="400"/>
      <c r="I251" s="400"/>
      <c r="J251" s="400"/>
    </row>
    <row r="252" spans="1:10" s="396" customFormat="1">
      <c r="A252" s="4"/>
      <c r="F252" s="400"/>
      <c r="G252" s="400"/>
      <c r="H252" s="400"/>
      <c r="I252" s="400"/>
      <c r="J252" s="400"/>
    </row>
    <row r="253" spans="1:10" s="396" customFormat="1">
      <c r="A253" s="4"/>
      <c r="F253" s="400"/>
      <c r="G253" s="400"/>
      <c r="H253" s="400"/>
      <c r="I253" s="400"/>
      <c r="J253" s="400"/>
    </row>
    <row r="254" spans="1:10" s="396" customFormat="1">
      <c r="A254" s="4"/>
      <c r="F254" s="400"/>
      <c r="G254" s="400"/>
      <c r="H254" s="400"/>
      <c r="I254" s="400"/>
      <c r="J254" s="400"/>
    </row>
    <row r="255" spans="1:10" s="396" customFormat="1">
      <c r="A255" s="4"/>
      <c r="F255" s="400"/>
      <c r="G255" s="400"/>
      <c r="H255" s="400"/>
      <c r="I255" s="400"/>
      <c r="J255" s="400"/>
    </row>
    <row r="256" spans="1:10" s="396" customFormat="1">
      <c r="A256" s="4"/>
      <c r="F256" s="400"/>
      <c r="G256" s="400"/>
      <c r="H256" s="400"/>
      <c r="I256" s="400"/>
      <c r="J256" s="400"/>
    </row>
    <row r="257" spans="1:10" s="396" customFormat="1">
      <c r="A257" s="4"/>
      <c r="F257" s="400"/>
      <c r="G257" s="400"/>
      <c r="H257" s="400"/>
      <c r="I257" s="400"/>
      <c r="J257" s="400"/>
    </row>
    <row r="258" spans="1:10" s="396" customFormat="1">
      <c r="A258" s="4"/>
      <c r="F258" s="400"/>
      <c r="G258" s="400"/>
      <c r="H258" s="400"/>
      <c r="I258" s="400"/>
      <c r="J258" s="400"/>
    </row>
    <row r="259" spans="1:10" s="396" customFormat="1">
      <c r="A259" s="4"/>
      <c r="F259" s="400"/>
      <c r="G259" s="400"/>
      <c r="H259" s="400"/>
      <c r="I259" s="400"/>
      <c r="J259" s="400"/>
    </row>
    <row r="260" spans="1:10" s="396" customFormat="1">
      <c r="A260" s="4"/>
      <c r="F260" s="400"/>
      <c r="G260" s="400"/>
      <c r="H260" s="400"/>
      <c r="I260" s="400"/>
      <c r="J260" s="400"/>
    </row>
    <row r="261" spans="1:10" s="396" customFormat="1">
      <c r="A261" s="4"/>
      <c r="F261" s="400"/>
      <c r="G261" s="400"/>
      <c r="H261" s="400"/>
      <c r="I261" s="400"/>
      <c r="J261" s="400"/>
    </row>
    <row r="262" spans="1:10" s="396" customFormat="1">
      <c r="A262" s="4"/>
      <c r="F262" s="400"/>
      <c r="G262" s="400"/>
      <c r="H262" s="400"/>
      <c r="I262" s="400"/>
      <c r="J262" s="400"/>
    </row>
    <row r="263" spans="1:10" s="396" customFormat="1">
      <c r="A263" s="4"/>
      <c r="F263" s="400"/>
      <c r="G263" s="400"/>
      <c r="H263" s="400"/>
      <c r="I263" s="400"/>
      <c r="J263" s="400"/>
    </row>
    <row r="264" spans="1:10" s="396" customFormat="1">
      <c r="A264" s="4"/>
      <c r="F264" s="400"/>
      <c r="G264" s="400"/>
      <c r="H264" s="400"/>
      <c r="I264" s="400"/>
      <c r="J264" s="400"/>
    </row>
    <row r="265" spans="1:10" s="396" customFormat="1">
      <c r="A265" s="4"/>
      <c r="F265" s="400"/>
      <c r="G265" s="400"/>
      <c r="H265" s="400"/>
      <c r="I265" s="400"/>
      <c r="J265" s="400"/>
    </row>
    <row r="266" spans="1:10" s="396" customFormat="1">
      <c r="A266" s="4"/>
      <c r="F266" s="400"/>
      <c r="G266" s="400"/>
      <c r="H266" s="400"/>
      <c r="I266" s="400"/>
      <c r="J266" s="400"/>
    </row>
    <row r="267" spans="1:10" s="396" customFormat="1">
      <c r="A267" s="4"/>
      <c r="F267" s="400"/>
      <c r="G267" s="400"/>
      <c r="H267" s="400"/>
      <c r="I267" s="400"/>
      <c r="J267" s="400"/>
    </row>
    <row r="268" spans="1:10" s="396" customFormat="1">
      <c r="A268" s="4"/>
      <c r="F268" s="400"/>
      <c r="G268" s="400"/>
      <c r="H268" s="400"/>
      <c r="I268" s="400"/>
      <c r="J268" s="400"/>
    </row>
    <row r="269" spans="1:10" s="396" customFormat="1">
      <c r="A269" s="4"/>
      <c r="F269" s="400"/>
      <c r="G269" s="400"/>
      <c r="H269" s="400"/>
      <c r="I269" s="400"/>
      <c r="J269" s="400"/>
    </row>
    <row r="270" spans="1:10" s="396" customFormat="1">
      <c r="A270" s="4"/>
      <c r="F270" s="400"/>
      <c r="G270" s="400"/>
      <c r="H270" s="400"/>
      <c r="I270" s="400"/>
      <c r="J270" s="400"/>
    </row>
    <row r="271" spans="1:10" s="396" customFormat="1">
      <c r="A271" s="4"/>
      <c r="F271" s="400"/>
      <c r="G271" s="400"/>
      <c r="H271" s="400"/>
      <c r="I271" s="400"/>
      <c r="J271" s="400"/>
    </row>
    <row r="272" spans="1:10" s="396" customFormat="1">
      <c r="A272" s="4"/>
      <c r="F272" s="400"/>
      <c r="G272" s="400"/>
      <c r="H272" s="400"/>
      <c r="I272" s="400"/>
      <c r="J272" s="400"/>
    </row>
    <row r="273" spans="1:10" s="396" customFormat="1">
      <c r="A273" s="4"/>
      <c r="F273" s="400"/>
      <c r="G273" s="400"/>
      <c r="H273" s="400"/>
      <c r="I273" s="400"/>
      <c r="J273" s="400"/>
    </row>
    <row r="274" spans="1:10" s="396" customFormat="1">
      <c r="A274" s="4"/>
      <c r="F274" s="400"/>
      <c r="G274" s="400"/>
      <c r="H274" s="400"/>
      <c r="I274" s="400"/>
      <c r="J274" s="400"/>
    </row>
    <row r="275" spans="1:10" s="396" customFormat="1">
      <c r="A275" s="4"/>
      <c r="F275" s="400"/>
      <c r="G275" s="400"/>
      <c r="H275" s="400"/>
      <c r="I275" s="400"/>
      <c r="J275" s="400"/>
    </row>
    <row r="276" spans="1:10" s="396" customFormat="1">
      <c r="A276" s="4"/>
      <c r="F276" s="400"/>
      <c r="G276" s="400"/>
      <c r="H276" s="400"/>
      <c r="I276" s="400"/>
      <c r="J276" s="400"/>
    </row>
    <row r="277" spans="1:10" s="396" customFormat="1">
      <c r="A277" s="4"/>
      <c r="F277" s="400"/>
      <c r="G277" s="400"/>
      <c r="H277" s="400"/>
      <c r="I277" s="400"/>
      <c r="J277" s="400"/>
    </row>
    <row r="278" spans="1:10" s="396" customFormat="1">
      <c r="A278" s="4"/>
      <c r="F278" s="400"/>
      <c r="G278" s="400"/>
      <c r="H278" s="400"/>
      <c r="I278" s="400"/>
      <c r="J278" s="400"/>
    </row>
    <row r="279" spans="1:10" s="396" customFormat="1">
      <c r="A279" s="4"/>
      <c r="F279" s="400"/>
      <c r="G279" s="400"/>
      <c r="H279" s="400"/>
      <c r="I279" s="400"/>
      <c r="J279" s="400"/>
    </row>
    <row r="280" spans="1:10" s="396" customFormat="1">
      <c r="A280" s="4"/>
      <c r="F280" s="400"/>
      <c r="G280" s="400"/>
      <c r="H280" s="400"/>
      <c r="I280" s="400"/>
      <c r="J280" s="400"/>
    </row>
    <row r="281" spans="1:10" s="396" customFormat="1">
      <c r="A281" s="4"/>
      <c r="F281" s="400"/>
      <c r="G281" s="400"/>
      <c r="H281" s="400"/>
      <c r="I281" s="400"/>
      <c r="J281" s="400"/>
    </row>
    <row r="282" spans="1:10" s="396" customFormat="1">
      <c r="A282" s="4"/>
      <c r="F282" s="400"/>
      <c r="G282" s="400"/>
      <c r="H282" s="400"/>
      <c r="I282" s="400"/>
      <c r="J282" s="400"/>
    </row>
    <row r="283" spans="1:10" s="396" customFormat="1">
      <c r="A283" s="4"/>
      <c r="F283" s="400"/>
      <c r="G283" s="400"/>
      <c r="H283" s="400"/>
      <c r="I283" s="400"/>
      <c r="J283" s="400"/>
    </row>
    <row r="284" spans="1:10" s="396" customFormat="1">
      <c r="A284" s="4"/>
      <c r="F284" s="400"/>
      <c r="G284" s="400"/>
      <c r="H284" s="400"/>
      <c r="I284" s="400"/>
      <c r="J284" s="400"/>
    </row>
  </sheetData>
  <sheetProtection algorithmName="SHA-512" hashValue="1B/zPnCIXBpCOv61/weHoavyxHUMeUyiRo32sj8eKIav9XsxdmRDc0l1hVBES0A08npSGaatkzx7DxmVaoFHEw==" saltValue="Tfw5MnXucodfPntxd0iLqg==" spinCount="100000" sheet="1" objects="1" scenarios="1" selectLockedCells="1" selectUnlockedCells="1"/>
  <mergeCells count="65">
    <mergeCell ref="C133:F133"/>
    <mergeCell ref="H133:J133"/>
    <mergeCell ref="C132:F132"/>
    <mergeCell ref="H132:J132"/>
    <mergeCell ref="A80:J80"/>
    <mergeCell ref="A18:B18"/>
    <mergeCell ref="A15:B15"/>
    <mergeCell ref="A14:B14"/>
    <mergeCell ref="G3:J3"/>
    <mergeCell ref="G5:H5"/>
    <mergeCell ref="G8:J8"/>
    <mergeCell ref="A1:B6"/>
    <mergeCell ref="G10:J10"/>
    <mergeCell ref="G12:J12"/>
    <mergeCell ref="G14:J14"/>
    <mergeCell ref="A11:B11"/>
    <mergeCell ref="A16:B16"/>
    <mergeCell ref="G1:J1"/>
    <mergeCell ref="G9:J9"/>
    <mergeCell ref="G15:J15"/>
    <mergeCell ref="A45:J45"/>
    <mergeCell ref="A44:J44"/>
    <mergeCell ref="B42:F42"/>
    <mergeCell ref="B43:F43"/>
    <mergeCell ref="B34:F34"/>
    <mergeCell ref="B39:F39"/>
    <mergeCell ref="B41:F41"/>
    <mergeCell ref="G39:H39"/>
    <mergeCell ref="B40:F40"/>
    <mergeCell ref="B36:F36"/>
    <mergeCell ref="B37:F37"/>
    <mergeCell ref="B38:E38"/>
    <mergeCell ref="F38:H38"/>
    <mergeCell ref="G47:J47"/>
    <mergeCell ref="A121:J121"/>
    <mergeCell ref="A96:J96"/>
    <mergeCell ref="A75:J75"/>
    <mergeCell ref="E47:E48"/>
    <mergeCell ref="D47:D48"/>
    <mergeCell ref="A88:J88"/>
    <mergeCell ref="A112:J112"/>
    <mergeCell ref="C47:C48"/>
    <mergeCell ref="I48:J48"/>
    <mergeCell ref="A47:A48"/>
    <mergeCell ref="B47:B48"/>
    <mergeCell ref="F47:F48"/>
    <mergeCell ref="A50:J50"/>
    <mergeCell ref="A90:J90"/>
    <mergeCell ref="I49:J49"/>
    <mergeCell ref="A20:C20"/>
    <mergeCell ref="A22:B22"/>
    <mergeCell ref="B35:G35"/>
    <mergeCell ref="G2:J2"/>
    <mergeCell ref="G4:J4"/>
    <mergeCell ref="G18:J18"/>
    <mergeCell ref="G22:J22"/>
    <mergeCell ref="G24:J24"/>
    <mergeCell ref="G20:I20"/>
    <mergeCell ref="G25:J25"/>
    <mergeCell ref="B33:F33"/>
    <mergeCell ref="A23:B23"/>
    <mergeCell ref="G23:J23"/>
    <mergeCell ref="B31:F31"/>
    <mergeCell ref="B32:F32"/>
    <mergeCell ref="A21:B21"/>
  </mergeCells>
  <phoneticPr fontId="3" type="noConversion"/>
  <pageMargins left="0.59055118110236227" right="0.59055118110236227" top="0.98425196850393704" bottom="0.59055118110236227" header="0.39370078740157483" footer="0.19685039370078741"/>
  <pageSetup paperSize="9" scale="60" orientation="landscape" r:id="rId1"/>
  <headerFooter alignWithMargins="0"/>
  <rowBreaks count="3" manualBreakCount="3">
    <brk id="43" max="8" man="1"/>
    <brk id="89" max="16383" man="1"/>
    <brk id="111" max="16383" man="1"/>
  </rowBreaks>
  <ignoredErrors>
    <ignoredError sqref="B113:B120 B122:B13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78"/>
  <sheetViews>
    <sheetView view="pageBreakPreview" topLeftCell="A16" zoomScale="60" zoomScaleNormal="75" workbookViewId="0">
      <selection activeCell="A16" sqref="A1:XFD1048576"/>
    </sheetView>
  </sheetViews>
  <sheetFormatPr defaultColWidth="9.109375" defaultRowHeight="18"/>
  <cols>
    <col min="1" max="1" width="53.88671875" style="232" customWidth="1"/>
    <col min="2" max="2" width="14.33203125" style="245" customWidth="1"/>
    <col min="3" max="3" width="14.6640625" style="232" customWidth="1"/>
    <col min="4" max="4" width="14.88671875" style="232" customWidth="1"/>
    <col min="5" max="5" width="13.6640625" style="232" customWidth="1"/>
    <col min="6" max="6" width="15" style="232" customWidth="1"/>
    <col min="7" max="8" width="15.33203125" style="232" customWidth="1"/>
    <col min="9" max="9" width="14.5546875" style="232" customWidth="1"/>
    <col min="10" max="10" width="16.44140625" style="232" customWidth="1"/>
    <col min="11" max="11" width="14.33203125" style="232" customWidth="1"/>
    <col min="12" max="12" width="14.88671875" style="232" customWidth="1"/>
    <col min="13" max="13" width="15.109375" style="232" customWidth="1"/>
    <col min="14" max="15" width="14.44140625" style="232" customWidth="1"/>
    <col min="16" max="16" width="13.5546875" style="232" customWidth="1"/>
    <col min="17" max="17" width="15.109375" style="232" customWidth="1"/>
    <col min="18" max="18" width="15.44140625" style="232" customWidth="1"/>
    <col min="19" max="19" width="17.44140625" style="232" customWidth="1"/>
    <col min="20" max="20" width="11.44140625" style="232" bestFit="1" customWidth="1"/>
    <col min="21" max="23" width="10.33203125" style="232" bestFit="1" customWidth="1"/>
    <col min="24" max="16384" width="9.109375" style="232"/>
  </cols>
  <sheetData>
    <row r="1" spans="1:39" ht="21">
      <c r="A1" s="6"/>
      <c r="B1" s="399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8" t="s">
        <v>342</v>
      </c>
    </row>
    <row r="2" spans="1:39" ht="23.25" customHeight="1">
      <c r="A2" s="594" t="s">
        <v>93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</row>
    <row r="3" spans="1:39" ht="23.25" customHeight="1">
      <c r="A3" s="594" t="s">
        <v>697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</row>
    <row r="4" spans="1:39" ht="23.25" customHeight="1">
      <c r="A4" s="595" t="s">
        <v>416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</row>
    <row r="5" spans="1:39" ht="20.100000000000001" customHeight="1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</row>
    <row r="6" spans="1:39" ht="36.75" customHeight="1">
      <c r="A6" s="596" t="s">
        <v>268</v>
      </c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</row>
    <row r="7" spans="1:39" ht="24.75" customHeight="1">
      <c r="A7" s="597" t="s">
        <v>188</v>
      </c>
      <c r="B7" s="597"/>
      <c r="C7" s="597"/>
      <c r="D7" s="597"/>
      <c r="E7" s="597"/>
      <c r="F7" s="597"/>
      <c r="G7" s="597"/>
      <c r="H7" s="597"/>
      <c r="I7" s="597"/>
      <c r="J7" s="597"/>
      <c r="K7" s="597"/>
      <c r="L7" s="597"/>
      <c r="M7" s="597"/>
      <c r="N7" s="597"/>
      <c r="O7" s="597"/>
    </row>
    <row r="8" spans="1:39" s="1" customFormat="1" ht="83.25" customHeight="1">
      <c r="A8" s="490" t="s">
        <v>163</v>
      </c>
      <c r="B8" s="490"/>
      <c r="C8" s="490"/>
      <c r="D8" s="488" t="s">
        <v>656</v>
      </c>
      <c r="E8" s="488"/>
      <c r="F8" s="488" t="s">
        <v>657</v>
      </c>
      <c r="G8" s="488"/>
      <c r="H8" s="488" t="s">
        <v>658</v>
      </c>
      <c r="I8" s="488"/>
      <c r="J8" s="488" t="s">
        <v>659</v>
      </c>
      <c r="K8" s="488"/>
      <c r="L8" s="488" t="s">
        <v>660</v>
      </c>
      <c r="M8" s="488"/>
      <c r="N8" s="488" t="s">
        <v>661</v>
      </c>
      <c r="O8" s="488"/>
    </row>
    <row r="9" spans="1:39" s="1" customFormat="1" ht="24.75" customHeight="1">
      <c r="A9" s="490">
        <v>1</v>
      </c>
      <c r="B9" s="490"/>
      <c r="C9" s="490"/>
      <c r="D9" s="488">
        <v>2</v>
      </c>
      <c r="E9" s="488"/>
      <c r="F9" s="488">
        <v>3</v>
      </c>
      <c r="G9" s="488"/>
      <c r="H9" s="488">
        <v>4</v>
      </c>
      <c r="I9" s="488"/>
      <c r="J9" s="488">
        <v>5</v>
      </c>
      <c r="K9" s="488"/>
      <c r="L9" s="488">
        <v>6</v>
      </c>
      <c r="M9" s="488"/>
      <c r="N9" s="488">
        <v>7</v>
      </c>
      <c r="O9" s="488"/>
    </row>
    <row r="10" spans="1:39" s="1" customFormat="1" ht="73.5" customHeight="1">
      <c r="A10" s="590" t="s">
        <v>350</v>
      </c>
      <c r="B10" s="591"/>
      <c r="C10" s="592"/>
      <c r="D10" s="581">
        <f>SUM(D11:E13)</f>
        <v>207</v>
      </c>
      <c r="E10" s="582"/>
      <c r="F10" s="581">
        <f t="shared" ref="F10" si="0">SUM(F11:G13)</f>
        <v>209</v>
      </c>
      <c r="G10" s="582"/>
      <c r="H10" s="581">
        <f t="shared" ref="H10" si="1">SUM(H11:I13)</f>
        <v>209</v>
      </c>
      <c r="I10" s="582"/>
      <c r="J10" s="581">
        <f t="shared" ref="J10" si="2">SUM(J11:K13)</f>
        <v>209</v>
      </c>
      <c r="K10" s="582"/>
      <c r="L10" s="583">
        <f>J10/H10*100</f>
        <v>100</v>
      </c>
      <c r="M10" s="584"/>
      <c r="N10" s="583">
        <f>J10/D10*100</f>
        <v>101</v>
      </c>
      <c r="O10" s="584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</row>
    <row r="11" spans="1:39" s="1" customFormat="1" ht="26.25" customHeight="1">
      <c r="A11" s="587" t="s">
        <v>161</v>
      </c>
      <c r="B11" s="471"/>
      <c r="C11" s="588"/>
      <c r="D11" s="579">
        <v>1</v>
      </c>
      <c r="E11" s="580"/>
      <c r="F11" s="579">
        <v>1</v>
      </c>
      <c r="G11" s="580"/>
      <c r="H11" s="579">
        <f t="shared" ref="H11:H12" si="3">F11</f>
        <v>1</v>
      </c>
      <c r="I11" s="580"/>
      <c r="J11" s="579">
        <v>1</v>
      </c>
      <c r="K11" s="580"/>
      <c r="L11" s="585">
        <f t="shared" ref="L11:L25" si="4">J11/H11*100</f>
        <v>100</v>
      </c>
      <c r="M11" s="586"/>
      <c r="N11" s="585">
        <f t="shared" ref="N11:N25" si="5">J11/D11*100</f>
        <v>100</v>
      </c>
      <c r="O11" s="58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</row>
    <row r="12" spans="1:39" s="1" customFormat="1" ht="26.25" customHeight="1">
      <c r="A12" s="587" t="s">
        <v>170</v>
      </c>
      <c r="B12" s="471"/>
      <c r="C12" s="588"/>
      <c r="D12" s="579">
        <v>40</v>
      </c>
      <c r="E12" s="580"/>
      <c r="F12" s="579">
        <v>40</v>
      </c>
      <c r="G12" s="580"/>
      <c r="H12" s="579">
        <f t="shared" si="3"/>
        <v>40</v>
      </c>
      <c r="I12" s="580"/>
      <c r="J12" s="579">
        <v>40</v>
      </c>
      <c r="K12" s="580"/>
      <c r="L12" s="585">
        <f t="shared" si="4"/>
        <v>100</v>
      </c>
      <c r="M12" s="586"/>
      <c r="N12" s="585">
        <f t="shared" si="5"/>
        <v>100</v>
      </c>
      <c r="O12" s="58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</row>
    <row r="13" spans="1:39" s="1" customFormat="1" ht="26.25" customHeight="1">
      <c r="A13" s="587" t="s">
        <v>162</v>
      </c>
      <c r="B13" s="471"/>
      <c r="C13" s="588"/>
      <c r="D13" s="579">
        <v>166</v>
      </c>
      <c r="E13" s="580"/>
      <c r="F13" s="579">
        <v>168</v>
      </c>
      <c r="G13" s="580"/>
      <c r="H13" s="579">
        <f>173-5</f>
        <v>168</v>
      </c>
      <c r="I13" s="580"/>
      <c r="J13" s="579">
        <v>168</v>
      </c>
      <c r="K13" s="580"/>
      <c r="L13" s="585">
        <f t="shared" si="4"/>
        <v>100</v>
      </c>
      <c r="M13" s="586"/>
      <c r="N13" s="585">
        <f t="shared" si="5"/>
        <v>101.2</v>
      </c>
      <c r="O13" s="58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</row>
    <row r="14" spans="1:39" s="1" customFormat="1" ht="33.75" customHeight="1">
      <c r="A14" s="590" t="s">
        <v>310</v>
      </c>
      <c r="B14" s="591"/>
      <c r="C14" s="592"/>
      <c r="D14" s="581">
        <f>SUM(D15:E17)</f>
        <v>47355</v>
      </c>
      <c r="E14" s="582"/>
      <c r="F14" s="581">
        <f t="shared" ref="F14" si="6">SUM(F15:G17)</f>
        <v>50404</v>
      </c>
      <c r="G14" s="582"/>
      <c r="H14" s="581">
        <f t="shared" ref="H14" si="7">SUM(H15:I17)</f>
        <v>53540</v>
      </c>
      <c r="I14" s="582"/>
      <c r="J14" s="581">
        <f t="shared" ref="J14" si="8">SUM(J15:K17)</f>
        <v>58564</v>
      </c>
      <c r="K14" s="582"/>
      <c r="L14" s="583">
        <f t="shared" si="4"/>
        <v>109.4</v>
      </c>
      <c r="M14" s="584"/>
      <c r="N14" s="583">
        <f t="shared" si="5"/>
        <v>123.7</v>
      </c>
      <c r="O14" s="584"/>
      <c r="P14" s="362">
        <v>1.0991</v>
      </c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</row>
    <row r="15" spans="1:39" s="1" customFormat="1" ht="25.5" customHeight="1">
      <c r="A15" s="587" t="s">
        <v>161</v>
      </c>
      <c r="B15" s="471"/>
      <c r="C15" s="588"/>
      <c r="D15" s="579">
        <v>433</v>
      </c>
      <c r="E15" s="580"/>
      <c r="F15" s="579">
        <v>498</v>
      </c>
      <c r="G15" s="580"/>
      <c r="H15" s="579">
        <f>H19</f>
        <v>498</v>
      </c>
      <c r="I15" s="580"/>
      <c r="J15" s="579">
        <f>J19</f>
        <v>547</v>
      </c>
      <c r="K15" s="580"/>
      <c r="L15" s="585">
        <f t="shared" si="4"/>
        <v>109.8</v>
      </c>
      <c r="M15" s="586"/>
      <c r="N15" s="585">
        <f t="shared" si="5"/>
        <v>126.3</v>
      </c>
      <c r="O15" s="58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  <c r="AF15" s="226"/>
      <c r="AG15" s="226"/>
      <c r="AH15" s="226"/>
      <c r="AI15" s="226"/>
      <c r="AJ15" s="226"/>
      <c r="AK15" s="226"/>
      <c r="AL15" s="226"/>
      <c r="AM15" s="226"/>
    </row>
    <row r="16" spans="1:39" s="1" customFormat="1" ht="25.5" customHeight="1">
      <c r="A16" s="587" t="s">
        <v>170</v>
      </c>
      <c r="B16" s="471"/>
      <c r="C16" s="588"/>
      <c r="D16" s="579">
        <v>13378</v>
      </c>
      <c r="E16" s="580"/>
      <c r="F16" s="579">
        <v>14250</v>
      </c>
      <c r="G16" s="580"/>
      <c r="H16" s="579">
        <f>H20</f>
        <v>15275</v>
      </c>
      <c r="I16" s="580"/>
      <c r="J16" s="579">
        <f>J20</f>
        <v>16785</v>
      </c>
      <c r="K16" s="580"/>
      <c r="L16" s="585">
        <f t="shared" si="4"/>
        <v>109.9</v>
      </c>
      <c r="M16" s="586"/>
      <c r="N16" s="585">
        <f t="shared" si="5"/>
        <v>125.5</v>
      </c>
      <c r="O16" s="58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26"/>
      <c r="AK16" s="226"/>
      <c r="AL16" s="226"/>
      <c r="AM16" s="226"/>
    </row>
    <row r="17" spans="1:39" s="1" customFormat="1" ht="25.5" customHeight="1">
      <c r="A17" s="587" t="s">
        <v>162</v>
      </c>
      <c r="B17" s="471"/>
      <c r="C17" s="588"/>
      <c r="D17" s="579">
        <v>33544</v>
      </c>
      <c r="E17" s="580"/>
      <c r="F17" s="579">
        <v>35656</v>
      </c>
      <c r="G17" s="580"/>
      <c r="H17" s="579">
        <f>37767</f>
        <v>37767</v>
      </c>
      <c r="I17" s="580"/>
      <c r="J17" s="579">
        <v>41232</v>
      </c>
      <c r="K17" s="580"/>
      <c r="L17" s="585">
        <f t="shared" si="4"/>
        <v>109.2</v>
      </c>
      <c r="M17" s="586"/>
      <c r="N17" s="585">
        <f t="shared" si="5"/>
        <v>122.9</v>
      </c>
      <c r="O17" s="58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</row>
    <row r="18" spans="1:39" s="1" customFormat="1" ht="35.25" customHeight="1">
      <c r="A18" s="590" t="s">
        <v>311</v>
      </c>
      <c r="B18" s="591"/>
      <c r="C18" s="592"/>
      <c r="D18" s="581">
        <f>SUM(D19:E21)</f>
        <v>48080</v>
      </c>
      <c r="E18" s="582"/>
      <c r="F18" s="581">
        <f t="shared" ref="F18" si="9">SUM(F19:G21)</f>
        <v>50404</v>
      </c>
      <c r="G18" s="582"/>
      <c r="H18" s="581">
        <f t="shared" ref="H18" si="10">SUM(H19:I21)</f>
        <v>53540</v>
      </c>
      <c r="I18" s="582"/>
      <c r="J18" s="581">
        <f t="shared" ref="J18" si="11">SUM(J19:K21)</f>
        <v>58564</v>
      </c>
      <c r="K18" s="582"/>
      <c r="L18" s="583">
        <f t="shared" si="4"/>
        <v>109.4</v>
      </c>
      <c r="M18" s="584"/>
      <c r="N18" s="583">
        <f t="shared" si="5"/>
        <v>121.8</v>
      </c>
      <c r="O18" s="584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</row>
    <row r="19" spans="1:39" s="1" customFormat="1" ht="27" customHeight="1">
      <c r="A19" s="587" t="s">
        <v>161</v>
      </c>
      <c r="B19" s="471"/>
      <c r="C19" s="588"/>
      <c r="D19" s="579">
        <v>442</v>
      </c>
      <c r="E19" s="580"/>
      <c r="F19" s="579">
        <v>498</v>
      </c>
      <c r="G19" s="580"/>
      <c r="H19" s="579">
        <v>498</v>
      </c>
      <c r="I19" s="580"/>
      <c r="J19" s="579">
        <v>547</v>
      </c>
      <c r="K19" s="580"/>
      <c r="L19" s="585">
        <f t="shared" si="4"/>
        <v>109.8</v>
      </c>
      <c r="M19" s="586"/>
      <c r="N19" s="585">
        <f t="shared" si="5"/>
        <v>123.8</v>
      </c>
      <c r="O19" s="58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</row>
    <row r="20" spans="1:39" s="1" customFormat="1" ht="27" customHeight="1">
      <c r="A20" s="587" t="s">
        <v>170</v>
      </c>
      <c r="B20" s="471"/>
      <c r="C20" s="588"/>
      <c r="D20" s="579">
        <v>13496</v>
      </c>
      <c r="E20" s="580"/>
      <c r="F20" s="579">
        <v>14250</v>
      </c>
      <c r="G20" s="580"/>
      <c r="H20" s="579">
        <v>15275</v>
      </c>
      <c r="I20" s="580"/>
      <c r="J20" s="579">
        <v>16785</v>
      </c>
      <c r="K20" s="580"/>
      <c r="L20" s="585">
        <f t="shared" si="4"/>
        <v>109.9</v>
      </c>
      <c r="M20" s="586"/>
      <c r="N20" s="585">
        <f t="shared" si="5"/>
        <v>124.4</v>
      </c>
      <c r="O20" s="58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</row>
    <row r="21" spans="1:39" s="1" customFormat="1" ht="27" customHeight="1">
      <c r="A21" s="587" t="s">
        <v>162</v>
      </c>
      <c r="B21" s="471"/>
      <c r="C21" s="588"/>
      <c r="D21" s="579">
        <v>34142</v>
      </c>
      <c r="E21" s="580"/>
      <c r="F21" s="579">
        <v>35656</v>
      </c>
      <c r="G21" s="580"/>
      <c r="H21" s="579">
        <v>37767</v>
      </c>
      <c r="I21" s="580"/>
      <c r="J21" s="579">
        <v>41232</v>
      </c>
      <c r="K21" s="580"/>
      <c r="L21" s="585">
        <f t="shared" si="4"/>
        <v>109.2</v>
      </c>
      <c r="M21" s="586"/>
      <c r="N21" s="585">
        <f t="shared" si="5"/>
        <v>120.8</v>
      </c>
      <c r="O21" s="58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</row>
    <row r="22" spans="1:39" s="1" customFormat="1" ht="55.5" customHeight="1">
      <c r="A22" s="590" t="s">
        <v>300</v>
      </c>
      <c r="B22" s="591"/>
      <c r="C22" s="592"/>
      <c r="D22" s="581">
        <f>ROUND(D18/D10/12*1000,0)</f>
        <v>19356</v>
      </c>
      <c r="E22" s="582"/>
      <c r="F22" s="581">
        <f t="shared" ref="F22" si="12">ROUND(F18/F10/12*1000,0)</f>
        <v>20097</v>
      </c>
      <c r="G22" s="582"/>
      <c r="H22" s="581">
        <f t="shared" ref="H22" si="13">ROUND(H18/H10/12*1000,0)</f>
        <v>21348</v>
      </c>
      <c r="I22" s="582"/>
      <c r="J22" s="581">
        <f t="shared" ref="J22" si="14">ROUND(J18/J10/12*1000,0)</f>
        <v>23351</v>
      </c>
      <c r="K22" s="582"/>
      <c r="L22" s="583">
        <f>J22/H22*100</f>
        <v>109.4</v>
      </c>
      <c r="M22" s="584"/>
      <c r="N22" s="583">
        <f t="shared" si="5"/>
        <v>120.6</v>
      </c>
      <c r="O22" s="584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</row>
    <row r="23" spans="1:39" s="1" customFormat="1" ht="26.25" customHeight="1">
      <c r="A23" s="587" t="s">
        <v>161</v>
      </c>
      <c r="B23" s="471"/>
      <c r="C23" s="588"/>
      <c r="D23" s="579">
        <f t="shared" ref="D23:J25" si="15">ROUND(D19/D11/12*1000,0)</f>
        <v>36833</v>
      </c>
      <c r="E23" s="580"/>
      <c r="F23" s="579">
        <f t="shared" si="15"/>
        <v>41500</v>
      </c>
      <c r="G23" s="580"/>
      <c r="H23" s="579">
        <f t="shared" si="15"/>
        <v>41500</v>
      </c>
      <c r="I23" s="580"/>
      <c r="J23" s="579">
        <f t="shared" si="15"/>
        <v>45583</v>
      </c>
      <c r="K23" s="580"/>
      <c r="L23" s="585">
        <f t="shared" si="4"/>
        <v>109.8</v>
      </c>
      <c r="M23" s="586"/>
      <c r="N23" s="585">
        <f t="shared" si="5"/>
        <v>123.8</v>
      </c>
      <c r="O23" s="58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</row>
    <row r="24" spans="1:39" s="1" customFormat="1" ht="26.25" customHeight="1">
      <c r="A24" s="587" t="s">
        <v>170</v>
      </c>
      <c r="B24" s="471"/>
      <c r="C24" s="588"/>
      <c r="D24" s="579">
        <f t="shared" si="15"/>
        <v>28117</v>
      </c>
      <c r="E24" s="580"/>
      <c r="F24" s="579">
        <f t="shared" si="15"/>
        <v>29688</v>
      </c>
      <c r="G24" s="580"/>
      <c r="H24" s="579">
        <f t="shared" si="15"/>
        <v>31823</v>
      </c>
      <c r="I24" s="580"/>
      <c r="J24" s="579">
        <f t="shared" si="15"/>
        <v>34969</v>
      </c>
      <c r="K24" s="580"/>
      <c r="L24" s="585">
        <f t="shared" si="4"/>
        <v>109.9</v>
      </c>
      <c r="M24" s="586"/>
      <c r="N24" s="585">
        <f t="shared" si="5"/>
        <v>124.4</v>
      </c>
      <c r="O24" s="58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  <c r="AF24" s="226"/>
      <c r="AG24" s="226"/>
      <c r="AH24" s="226"/>
      <c r="AI24" s="226"/>
      <c r="AJ24" s="226"/>
      <c r="AK24" s="226"/>
      <c r="AL24" s="226"/>
      <c r="AM24" s="226"/>
    </row>
    <row r="25" spans="1:39" s="1" customFormat="1" ht="26.25" customHeight="1">
      <c r="A25" s="587" t="s">
        <v>162</v>
      </c>
      <c r="B25" s="471"/>
      <c r="C25" s="588"/>
      <c r="D25" s="579">
        <f t="shared" si="15"/>
        <v>17140</v>
      </c>
      <c r="E25" s="580"/>
      <c r="F25" s="579">
        <f t="shared" si="15"/>
        <v>17687</v>
      </c>
      <c r="G25" s="580"/>
      <c r="H25" s="579">
        <f t="shared" si="15"/>
        <v>18734</v>
      </c>
      <c r="I25" s="580"/>
      <c r="J25" s="579">
        <f t="shared" si="15"/>
        <v>20452</v>
      </c>
      <c r="K25" s="580"/>
      <c r="L25" s="585">
        <f t="shared" si="4"/>
        <v>109.2</v>
      </c>
      <c r="M25" s="586"/>
      <c r="N25" s="585">
        <f t="shared" si="5"/>
        <v>119.3</v>
      </c>
      <c r="O25" s="58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</row>
    <row r="26" spans="1:39" ht="27.75" hidden="1" customHeight="1">
      <c r="A26" s="593" t="s">
        <v>274</v>
      </c>
      <c r="B26" s="593"/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</row>
    <row r="27" spans="1:39" ht="15" customHeight="1">
      <c r="A27" s="233"/>
      <c r="B27" s="233"/>
      <c r="C27" s="233"/>
      <c r="D27" s="233"/>
      <c r="E27" s="233"/>
      <c r="F27" s="233"/>
      <c r="G27" s="233"/>
      <c r="H27" s="233"/>
      <c r="I27" s="233"/>
      <c r="J27" s="6"/>
      <c r="K27" s="6"/>
      <c r="L27" s="6"/>
      <c r="M27" s="6"/>
      <c r="N27" s="6"/>
      <c r="O27" s="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</row>
    <row r="28" spans="1:39" ht="81" customHeight="1">
      <c r="A28" s="396"/>
      <c r="B28" s="396"/>
      <c r="C28" s="396"/>
      <c r="D28" s="396"/>
      <c r="E28" s="396"/>
      <c r="F28" s="396"/>
      <c r="G28" s="396"/>
      <c r="H28" s="396"/>
      <c r="I28" s="396" t="s">
        <v>435</v>
      </c>
      <c r="J28" s="396"/>
      <c r="K28" s="396"/>
      <c r="L28" s="396"/>
      <c r="M28" s="396"/>
      <c r="N28" s="396"/>
      <c r="O28" s="39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</row>
    <row r="29" spans="1:39" ht="40.5" customHeight="1">
      <c r="A29" s="589" t="s">
        <v>335</v>
      </c>
      <c r="B29" s="589"/>
      <c r="C29" s="589"/>
      <c r="D29" s="589"/>
      <c r="E29" s="589"/>
      <c r="F29" s="589"/>
      <c r="G29" s="589"/>
      <c r="H29" s="589"/>
      <c r="I29" s="589"/>
      <c r="J29" s="589"/>
      <c r="K29" s="6"/>
      <c r="L29" s="6"/>
      <c r="M29" s="6"/>
      <c r="N29" s="6"/>
      <c r="O29" s="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</row>
    <row r="30" spans="1:39" ht="68.25" customHeight="1">
      <c r="A30" s="483" t="s">
        <v>387</v>
      </c>
      <c r="B30" s="477" t="s">
        <v>177</v>
      </c>
      <c r="C30" s="479"/>
      <c r="D30" s="488" t="s">
        <v>674</v>
      </c>
      <c r="E30" s="488"/>
      <c r="F30" s="488"/>
      <c r="G30" s="488" t="s">
        <v>675</v>
      </c>
      <c r="H30" s="488"/>
      <c r="I30" s="488"/>
      <c r="J30" s="477" t="s">
        <v>676</v>
      </c>
      <c r="K30" s="478"/>
      <c r="L30" s="479"/>
      <c r="M30" s="488" t="s">
        <v>677</v>
      </c>
      <c r="N30" s="488"/>
      <c r="O30" s="488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</row>
    <row r="31" spans="1:39" ht="165" customHeight="1">
      <c r="A31" s="484"/>
      <c r="B31" s="397" t="s">
        <v>714</v>
      </c>
      <c r="C31" s="397" t="s">
        <v>715</v>
      </c>
      <c r="D31" s="397" t="s">
        <v>312</v>
      </c>
      <c r="E31" s="397" t="s">
        <v>178</v>
      </c>
      <c r="F31" s="397" t="s">
        <v>313</v>
      </c>
      <c r="G31" s="397" t="s">
        <v>312</v>
      </c>
      <c r="H31" s="397" t="s">
        <v>178</v>
      </c>
      <c r="I31" s="397" t="s">
        <v>313</v>
      </c>
      <c r="J31" s="397" t="s">
        <v>312</v>
      </c>
      <c r="K31" s="397" t="s">
        <v>178</v>
      </c>
      <c r="L31" s="397" t="s">
        <v>313</v>
      </c>
      <c r="M31" s="397" t="s">
        <v>312</v>
      </c>
      <c r="N31" s="397" t="s">
        <v>178</v>
      </c>
      <c r="O31" s="397" t="s">
        <v>313</v>
      </c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</row>
    <row r="32" spans="1:39" ht="25.5" customHeight="1">
      <c r="A32" s="397">
        <v>1</v>
      </c>
      <c r="B32" s="397">
        <v>2</v>
      </c>
      <c r="C32" s="397">
        <v>3</v>
      </c>
      <c r="D32" s="397">
        <v>4</v>
      </c>
      <c r="E32" s="397">
        <v>5</v>
      </c>
      <c r="F32" s="397">
        <v>6</v>
      </c>
      <c r="G32" s="397">
        <v>7</v>
      </c>
      <c r="H32" s="398">
        <v>8</v>
      </c>
      <c r="I32" s="398">
        <v>9</v>
      </c>
      <c r="J32" s="398">
        <v>10</v>
      </c>
      <c r="K32" s="398">
        <v>11</v>
      </c>
      <c r="L32" s="398">
        <v>12</v>
      </c>
      <c r="M32" s="398">
        <v>13</v>
      </c>
      <c r="N32" s="398">
        <v>14</v>
      </c>
      <c r="O32" s="398">
        <v>15</v>
      </c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</row>
    <row r="33" spans="1:28" ht="35.25" customHeight="1">
      <c r="A33" s="416" t="s">
        <v>527</v>
      </c>
      <c r="B33" s="354">
        <f>ROUND(D33/$D$44*100,1)+0.1</f>
        <v>66</v>
      </c>
      <c r="C33" s="314">
        <f>ROUND(M33/$M$44*100,1)</f>
        <v>64.5</v>
      </c>
      <c r="D33" s="235">
        <v>98341</v>
      </c>
      <c r="E33" s="235"/>
      <c r="F33" s="235"/>
      <c r="G33" s="236">
        <v>97617</v>
      </c>
      <c r="H33" s="236"/>
      <c r="I33" s="236"/>
      <c r="J33" s="236">
        <v>75090</v>
      </c>
      <c r="K33" s="343"/>
      <c r="L33" s="236"/>
      <c r="M33" s="236">
        <v>100120</v>
      </c>
      <c r="N33" s="237"/>
      <c r="O33" s="419"/>
      <c r="P33" s="342"/>
      <c r="Q33" s="295"/>
      <c r="R33" s="295"/>
      <c r="S33" s="295"/>
      <c r="T33" s="295"/>
      <c r="U33" s="295"/>
      <c r="V33" s="295"/>
      <c r="W33" s="295"/>
      <c r="X33" s="295"/>
      <c r="Y33" s="295"/>
      <c r="Z33" s="295">
        <f>M33-'[46]6.1. Інша інфо_1'!M33</f>
        <v>6612</v>
      </c>
      <c r="AA33" s="295"/>
      <c r="AB33" s="226"/>
    </row>
    <row r="34" spans="1:28" ht="43.5" customHeight="1">
      <c r="A34" s="416" t="s">
        <v>541</v>
      </c>
      <c r="B34" s="234">
        <f t="shared" ref="B34:B43" si="16">ROUND(D34/$D$44*100,1)</f>
        <v>5.7</v>
      </c>
      <c r="C34" s="314">
        <f t="shared" ref="C34:C43" si="17">ROUND(M34/$M$44*100,1)</f>
        <v>5.5</v>
      </c>
      <c r="D34" s="235">
        <v>8547</v>
      </c>
      <c r="E34" s="235"/>
      <c r="F34" s="235"/>
      <c r="G34" s="236">
        <v>8532</v>
      </c>
      <c r="H34" s="236"/>
      <c r="I34" s="236"/>
      <c r="J34" s="236">
        <v>6430</v>
      </c>
      <c r="K34" s="343"/>
      <c r="L34" s="236"/>
      <c r="M34" s="236">
        <v>8573</v>
      </c>
      <c r="N34" s="237"/>
      <c r="O34" s="419"/>
      <c r="P34" s="342"/>
      <c r="Q34" s="295"/>
      <c r="R34" s="295"/>
      <c r="S34" s="295"/>
      <c r="T34" s="295"/>
      <c r="U34" s="295"/>
      <c r="V34" s="295"/>
      <c r="W34" s="295"/>
      <c r="X34" s="295"/>
      <c r="Y34" s="295"/>
      <c r="Z34" s="295">
        <f>M34-'[46]6.1. Інша інфо_1'!M34</f>
        <v>-443</v>
      </c>
      <c r="AA34" s="226"/>
      <c r="AB34" s="226"/>
    </row>
    <row r="35" spans="1:28" ht="35.25" customHeight="1">
      <c r="A35" s="416" t="s">
        <v>511</v>
      </c>
      <c r="B35" s="234">
        <f t="shared" si="16"/>
        <v>22.7</v>
      </c>
      <c r="C35" s="354">
        <f>ROUND(M35/$M$44*100,1)+0.1</f>
        <v>22.5</v>
      </c>
      <c r="D35" s="235">
        <v>33805</v>
      </c>
      <c r="E35" s="235"/>
      <c r="F35" s="235"/>
      <c r="G35" s="236">
        <v>33552</v>
      </c>
      <c r="H35" s="236"/>
      <c r="I35" s="236"/>
      <c r="J35" s="236">
        <v>26143</v>
      </c>
      <c r="K35" s="343"/>
      <c r="L35" s="236"/>
      <c r="M35" s="236">
        <v>34857</v>
      </c>
      <c r="N35" s="237"/>
      <c r="O35" s="419"/>
      <c r="P35" s="342"/>
      <c r="Q35" s="295"/>
      <c r="R35" s="295"/>
      <c r="S35" s="295"/>
      <c r="T35" s="295"/>
      <c r="U35" s="295"/>
      <c r="V35" s="295"/>
      <c r="W35" s="295"/>
      <c r="X35" s="295"/>
      <c r="Y35" s="295"/>
      <c r="Z35" s="295">
        <f>M35-'[46]6.1. Інша інфо_1'!M35</f>
        <v>6445</v>
      </c>
      <c r="AA35" s="226"/>
      <c r="AB35" s="226"/>
    </row>
    <row r="36" spans="1:28" ht="35.25" customHeight="1">
      <c r="A36" s="416" t="s">
        <v>427</v>
      </c>
      <c r="B36" s="234">
        <f t="shared" si="16"/>
        <v>4.3</v>
      </c>
      <c r="C36" s="314">
        <f>ROUND(M36/$M$44*100,1)</f>
        <v>5</v>
      </c>
      <c r="D36" s="235">
        <v>6475</v>
      </c>
      <c r="E36" s="235"/>
      <c r="F36" s="235"/>
      <c r="G36" s="236">
        <v>7052</v>
      </c>
      <c r="H36" s="236"/>
      <c r="I36" s="236"/>
      <c r="J36" s="360">
        <v>5347</v>
      </c>
      <c r="K36" s="343"/>
      <c r="L36" s="236"/>
      <c r="M36" s="236">
        <v>7812</v>
      </c>
      <c r="N36" s="237"/>
      <c r="O36" s="419"/>
      <c r="Q36" s="295"/>
      <c r="R36" s="295"/>
      <c r="S36" s="295"/>
      <c r="T36" s="295"/>
      <c r="U36" s="295"/>
      <c r="V36" s="295"/>
      <c r="W36" s="295"/>
      <c r="X36" s="295"/>
      <c r="Y36" s="295"/>
      <c r="Z36" s="295">
        <f>M36-'[46]6.1. Інша інфо_1'!M36</f>
        <v>2063</v>
      </c>
      <c r="AA36" s="226"/>
      <c r="AB36" s="226"/>
    </row>
    <row r="37" spans="1:28" ht="35.25" customHeight="1">
      <c r="A37" s="416" t="s">
        <v>429</v>
      </c>
      <c r="B37" s="234">
        <f t="shared" si="16"/>
        <v>0.1</v>
      </c>
      <c r="C37" s="234">
        <f t="shared" si="17"/>
        <v>0.7</v>
      </c>
      <c r="D37" s="235">
        <v>92</v>
      </c>
      <c r="E37" s="235"/>
      <c r="F37" s="235"/>
      <c r="G37" s="236">
        <v>84</v>
      </c>
      <c r="H37" s="236"/>
      <c r="I37" s="236"/>
      <c r="J37" s="236">
        <v>1843</v>
      </c>
      <c r="K37" s="343"/>
      <c r="L37" s="236"/>
      <c r="M37" s="236">
        <f>1147-28</f>
        <v>1119</v>
      </c>
      <c r="N37" s="237"/>
      <c r="O37" s="419"/>
      <c r="Q37" s="295"/>
      <c r="R37" s="295"/>
      <c r="S37" s="295"/>
      <c r="T37" s="295"/>
      <c r="U37" s="295"/>
      <c r="V37" s="295"/>
      <c r="W37" s="295"/>
      <c r="X37" s="295"/>
      <c r="Y37" s="295"/>
      <c r="Z37" s="295">
        <f>M37-'[46]6.1. Інша інфо_1'!M37</f>
        <v>1031</v>
      </c>
      <c r="AA37" s="226"/>
      <c r="AB37" s="226"/>
    </row>
    <row r="38" spans="1:28" ht="42.75" customHeight="1">
      <c r="A38" s="238" t="s">
        <v>700</v>
      </c>
      <c r="B38" s="234">
        <f t="shared" si="16"/>
        <v>0.5</v>
      </c>
      <c r="C38" s="234">
        <f t="shared" si="17"/>
        <v>0.7</v>
      </c>
      <c r="D38" s="235">
        <v>783</v>
      </c>
      <c r="E38" s="235"/>
      <c r="F38" s="235"/>
      <c r="G38" s="236">
        <v>1274</v>
      </c>
      <c r="H38" s="236"/>
      <c r="I38" s="236"/>
      <c r="J38" s="236">
        <v>779</v>
      </c>
      <c r="K38" s="343"/>
      <c r="L38" s="236"/>
      <c r="M38" s="236">
        <v>1067</v>
      </c>
      <c r="N38" s="237"/>
      <c r="O38" s="419"/>
      <c r="Q38" s="295"/>
      <c r="R38" s="295"/>
      <c r="S38" s="295"/>
      <c r="T38" s="295"/>
      <c r="U38" s="295"/>
      <c r="V38" s="295"/>
      <c r="W38" s="295"/>
      <c r="X38" s="295"/>
      <c r="Y38" s="295"/>
      <c r="Z38" s="295">
        <f>M38-'[46]6.1. Інша інфо_1'!M38</f>
        <v>425</v>
      </c>
      <c r="AA38" s="226"/>
      <c r="AB38" s="226"/>
    </row>
    <row r="39" spans="1:28" ht="35.25" customHeight="1">
      <c r="A39" s="416" t="s">
        <v>528</v>
      </c>
      <c r="B39" s="234">
        <f t="shared" si="16"/>
        <v>0.1</v>
      </c>
      <c r="C39" s="234">
        <f t="shared" si="17"/>
        <v>0.3</v>
      </c>
      <c r="D39" s="235">
        <v>216</v>
      </c>
      <c r="E39" s="235"/>
      <c r="F39" s="235"/>
      <c r="G39" s="236">
        <v>180</v>
      </c>
      <c r="H39" s="236"/>
      <c r="I39" s="236"/>
      <c r="J39" s="236">
        <v>403</v>
      </c>
      <c r="K39" s="343"/>
      <c r="L39" s="236"/>
      <c r="M39" s="236">
        <v>537</v>
      </c>
      <c r="N39" s="237"/>
      <c r="O39" s="419"/>
      <c r="Q39" s="295"/>
      <c r="R39" s="295"/>
      <c r="S39" s="295"/>
      <c r="T39" s="295"/>
      <c r="U39" s="295"/>
      <c r="V39" s="295"/>
      <c r="W39" s="295"/>
      <c r="X39" s="295"/>
      <c r="Y39" s="295"/>
      <c r="Z39" s="295">
        <f>M39-'[46]6.1. Інша інфо_1'!M39</f>
        <v>285</v>
      </c>
      <c r="AA39" s="226"/>
      <c r="AB39" s="226"/>
    </row>
    <row r="40" spans="1:28" ht="35.25" hidden="1" customHeight="1">
      <c r="A40" s="238" t="s">
        <v>430</v>
      </c>
      <c r="B40" s="234">
        <f t="shared" si="16"/>
        <v>0</v>
      </c>
      <c r="C40" s="234">
        <f t="shared" si="17"/>
        <v>0</v>
      </c>
      <c r="D40" s="235">
        <v>0</v>
      </c>
      <c r="E40" s="235"/>
      <c r="F40" s="235"/>
      <c r="G40" s="236">
        <v>0</v>
      </c>
      <c r="H40" s="236"/>
      <c r="I40" s="236"/>
      <c r="J40" s="236">
        <v>0</v>
      </c>
      <c r="K40" s="343"/>
      <c r="L40" s="236"/>
      <c r="M40" s="236">
        <v>0</v>
      </c>
      <c r="N40" s="237"/>
      <c r="O40" s="419"/>
      <c r="Q40" s="295"/>
      <c r="R40" s="295"/>
      <c r="S40" s="295"/>
      <c r="T40" s="295"/>
      <c r="U40" s="295"/>
      <c r="V40" s="295"/>
      <c r="W40" s="295"/>
      <c r="X40" s="295"/>
      <c r="Y40" s="295"/>
      <c r="Z40" s="295">
        <f>M40-'[46]6.1. Інша інфо_1'!M40</f>
        <v>-1052</v>
      </c>
      <c r="AA40" s="226"/>
      <c r="AB40" s="226"/>
    </row>
    <row r="41" spans="1:28" ht="35.25" customHeight="1">
      <c r="A41" s="238" t="s">
        <v>431</v>
      </c>
      <c r="B41" s="234">
        <f t="shared" si="16"/>
        <v>0.6</v>
      </c>
      <c r="C41" s="234">
        <f t="shared" si="17"/>
        <v>0.8</v>
      </c>
      <c r="D41" s="235">
        <v>852</v>
      </c>
      <c r="E41" s="235"/>
      <c r="F41" s="235"/>
      <c r="G41" s="235">
        <v>871</v>
      </c>
      <c r="H41" s="235"/>
      <c r="I41" s="235"/>
      <c r="J41" s="235">
        <v>917</v>
      </c>
      <c r="K41" s="343"/>
      <c r="L41" s="236"/>
      <c r="M41" s="235">
        <v>1223</v>
      </c>
      <c r="N41" s="237"/>
      <c r="O41" s="239"/>
      <c r="Q41" s="295"/>
      <c r="R41" s="295"/>
      <c r="S41" s="295"/>
      <c r="T41" s="295"/>
      <c r="U41" s="295"/>
      <c r="V41" s="295"/>
      <c r="W41" s="295"/>
      <c r="X41" s="295"/>
      <c r="Y41" s="295"/>
      <c r="Z41" s="295">
        <f>M41-'[46]6.1. Інша інфо_1'!M41</f>
        <v>455</v>
      </c>
      <c r="AA41" s="226"/>
      <c r="AB41" s="226"/>
    </row>
    <row r="42" spans="1:28" ht="35.25" customHeight="1">
      <c r="A42" s="416" t="s">
        <v>426</v>
      </c>
      <c r="B42" s="234">
        <f t="shared" si="16"/>
        <v>0</v>
      </c>
      <c r="C42" s="234">
        <f t="shared" si="17"/>
        <v>0</v>
      </c>
      <c r="D42" s="235">
        <v>15</v>
      </c>
      <c r="E42" s="235"/>
      <c r="F42" s="235"/>
      <c r="G42" s="236">
        <v>20</v>
      </c>
      <c r="H42" s="236"/>
      <c r="I42" s="236"/>
      <c r="J42" s="236">
        <v>18</v>
      </c>
      <c r="K42" s="343"/>
      <c r="L42" s="236"/>
      <c r="M42" s="236">
        <v>20</v>
      </c>
      <c r="N42" s="237"/>
      <c r="O42" s="419"/>
      <c r="Q42" s="295"/>
      <c r="R42" s="295"/>
      <c r="S42" s="295"/>
      <c r="T42" s="295"/>
      <c r="U42" s="295"/>
      <c r="V42" s="295"/>
      <c r="W42" s="295"/>
      <c r="X42" s="295"/>
      <c r="Y42" s="295"/>
      <c r="Z42" s="295">
        <f>M42-'[46]6.1. Інша інфо_1'!M42</f>
        <v>4</v>
      </c>
      <c r="AA42" s="226"/>
      <c r="AB42" s="226"/>
    </row>
    <row r="43" spans="1:28" ht="35.25" customHeight="1">
      <c r="A43" s="416" t="s">
        <v>428</v>
      </c>
      <c r="B43" s="234">
        <f t="shared" si="16"/>
        <v>0</v>
      </c>
      <c r="C43" s="234">
        <f t="shared" si="17"/>
        <v>0</v>
      </c>
      <c r="D43" s="235">
        <v>45</v>
      </c>
      <c r="E43" s="235"/>
      <c r="F43" s="235"/>
      <c r="G43" s="236">
        <v>30</v>
      </c>
      <c r="H43" s="236"/>
      <c r="I43" s="236"/>
      <c r="J43" s="236">
        <v>0</v>
      </c>
      <c r="K43" s="343"/>
      <c r="L43" s="236"/>
      <c r="M43" s="236">
        <v>0</v>
      </c>
      <c r="N43" s="237"/>
      <c r="O43" s="419"/>
      <c r="Q43" s="295"/>
      <c r="R43" s="295"/>
      <c r="S43" s="295"/>
      <c r="T43" s="295"/>
      <c r="U43" s="295"/>
      <c r="V43" s="295"/>
      <c r="W43" s="295"/>
      <c r="X43" s="295"/>
      <c r="Y43" s="295"/>
      <c r="Z43" s="295">
        <f>M43-'[46]6.1. Інша інфо_1'!M43</f>
        <v>-9</v>
      </c>
      <c r="AA43" s="226"/>
      <c r="AB43" s="226"/>
    </row>
    <row r="44" spans="1:28" ht="30.75" customHeight="1">
      <c r="A44" s="147" t="s">
        <v>49</v>
      </c>
      <c r="B44" s="460">
        <f>SUM(B33:B43)</f>
        <v>100</v>
      </c>
      <c r="C44" s="460">
        <f>SUM(C33:C43)</f>
        <v>100</v>
      </c>
      <c r="D44" s="240">
        <f>SUM(D33:D43)</f>
        <v>149171</v>
      </c>
      <c r="E44" s="240"/>
      <c r="F44" s="240"/>
      <c r="G44" s="240">
        <f>SUM(G33:G43)</f>
        <v>149212</v>
      </c>
      <c r="H44" s="240"/>
      <c r="I44" s="240"/>
      <c r="J44" s="240">
        <f>SUM(J33:J43)</f>
        <v>116970</v>
      </c>
      <c r="K44" s="240"/>
      <c r="L44" s="240"/>
      <c r="M44" s="240">
        <f>SUM(M33:M43)</f>
        <v>155328</v>
      </c>
      <c r="N44" s="241"/>
      <c r="O44" s="241"/>
      <c r="Q44" s="295"/>
      <c r="R44" s="295"/>
      <c r="S44" s="295"/>
      <c r="T44" s="295"/>
      <c r="U44" s="295"/>
      <c r="V44" s="295"/>
      <c r="W44" s="295"/>
      <c r="X44" s="295"/>
      <c r="Y44" s="295"/>
      <c r="Z44" s="295">
        <f>M44-'[46]6.1. Інша інфо_1'!M44</f>
        <v>15816</v>
      </c>
      <c r="AA44" s="226"/>
      <c r="AB44" s="226"/>
    </row>
    <row r="45" spans="1:28" ht="19.5" customHeight="1">
      <c r="A45" s="189"/>
      <c r="B45" s="242"/>
      <c r="C45" s="242"/>
      <c r="D45" s="242"/>
      <c r="E45" s="242"/>
      <c r="F45" s="430"/>
      <c r="G45" s="430"/>
      <c r="H45" s="430"/>
      <c r="I45" s="418"/>
      <c r="J45" s="418"/>
      <c r="K45" s="418"/>
      <c r="L45" s="418"/>
      <c r="M45" s="418"/>
      <c r="N45" s="361"/>
      <c r="O45" s="418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</row>
    <row r="46" spans="1:28" ht="34.5" customHeight="1">
      <c r="A46" s="596" t="s">
        <v>336</v>
      </c>
      <c r="B46" s="596"/>
      <c r="C46" s="596"/>
      <c r="D46" s="596"/>
      <c r="E46" s="596"/>
      <c r="F46" s="596"/>
      <c r="G46" s="596"/>
      <c r="H46" s="596"/>
      <c r="I46" s="596"/>
      <c r="J46" s="596"/>
      <c r="K46" s="596"/>
      <c r="L46" s="596"/>
      <c r="M46" s="596"/>
      <c r="N46" s="596"/>
      <c r="O46" s="59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</row>
    <row r="47" spans="1:28" ht="63" customHeight="1">
      <c r="A47" s="414" t="s">
        <v>435</v>
      </c>
      <c r="B47" s="574" t="s">
        <v>62</v>
      </c>
      <c r="C47" s="574"/>
      <c r="D47" s="574" t="s">
        <v>57</v>
      </c>
      <c r="E47" s="574"/>
      <c r="F47" s="574" t="s">
        <v>58</v>
      </c>
      <c r="G47" s="574"/>
      <c r="H47" s="574" t="s">
        <v>179</v>
      </c>
      <c r="I47" s="574"/>
      <c r="J47" s="574"/>
      <c r="K47" s="620" t="s">
        <v>694</v>
      </c>
      <c r="L47" s="621"/>
      <c r="M47" s="620" t="s">
        <v>29</v>
      </c>
      <c r="N47" s="622"/>
      <c r="O47" s="621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</row>
    <row r="48" spans="1:28" ht="23.25" customHeight="1">
      <c r="A48" s="398">
        <v>1</v>
      </c>
      <c r="B48" s="490">
        <v>2</v>
      </c>
      <c r="C48" s="490"/>
      <c r="D48" s="490">
        <v>3</v>
      </c>
      <c r="E48" s="490"/>
      <c r="F48" s="626">
        <v>4</v>
      </c>
      <c r="G48" s="626"/>
      <c r="H48" s="490">
        <v>5</v>
      </c>
      <c r="I48" s="490"/>
      <c r="J48" s="490"/>
      <c r="K48" s="490">
        <v>6</v>
      </c>
      <c r="L48" s="490"/>
      <c r="M48" s="623">
        <v>7</v>
      </c>
      <c r="N48" s="624"/>
      <c r="O48" s="625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</row>
    <row r="49" spans="1:28" ht="63" customHeight="1">
      <c r="A49" s="243" t="s">
        <v>432</v>
      </c>
      <c r="B49" s="550" t="s">
        <v>639</v>
      </c>
      <c r="C49" s="551"/>
      <c r="D49" s="552">
        <v>4265</v>
      </c>
      <c r="E49" s="553"/>
      <c r="F49" s="554">
        <v>4.4000000000000004</v>
      </c>
      <c r="G49" s="555"/>
      <c r="H49" s="550" t="s">
        <v>640</v>
      </c>
      <c r="I49" s="556"/>
      <c r="J49" s="551"/>
      <c r="K49" s="557">
        <v>228</v>
      </c>
      <c r="L49" s="558"/>
      <c r="M49" s="559" t="s">
        <v>644</v>
      </c>
      <c r="N49" s="560"/>
      <c r="O49" s="561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</row>
    <row r="50" spans="1:28" ht="41.25" customHeight="1">
      <c r="A50" s="243" t="s">
        <v>532</v>
      </c>
      <c r="B50" s="575" t="s">
        <v>570</v>
      </c>
      <c r="C50" s="575"/>
      <c r="D50" s="576">
        <v>5292</v>
      </c>
      <c r="E50" s="577"/>
      <c r="F50" s="554">
        <v>12.5</v>
      </c>
      <c r="G50" s="555"/>
      <c r="H50" s="600" t="s">
        <v>571</v>
      </c>
      <c r="I50" s="601"/>
      <c r="J50" s="602"/>
      <c r="K50" s="603">
        <v>2822</v>
      </c>
      <c r="L50" s="604"/>
      <c r="M50" s="559" t="s">
        <v>433</v>
      </c>
      <c r="N50" s="560"/>
      <c r="O50" s="561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</row>
    <row r="51" spans="1:28" ht="75.75" hidden="1" customHeight="1">
      <c r="A51" s="243" t="s">
        <v>532</v>
      </c>
      <c r="B51" s="569" t="s">
        <v>555</v>
      </c>
      <c r="C51" s="570"/>
      <c r="D51" s="608">
        <v>800</v>
      </c>
      <c r="E51" s="609"/>
      <c r="F51" s="554">
        <v>12.5</v>
      </c>
      <c r="G51" s="555"/>
      <c r="H51" s="600" t="s">
        <v>554</v>
      </c>
      <c r="I51" s="601"/>
      <c r="J51" s="602"/>
      <c r="K51" s="603">
        <v>0</v>
      </c>
      <c r="L51" s="604"/>
      <c r="M51" s="605" t="s">
        <v>553</v>
      </c>
      <c r="N51" s="606"/>
      <c r="O51" s="607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</row>
    <row r="52" spans="1:28" ht="28.5" customHeight="1">
      <c r="A52" s="147" t="s">
        <v>49</v>
      </c>
      <c r="B52" s="568" t="s">
        <v>30</v>
      </c>
      <c r="C52" s="568"/>
      <c r="D52" s="568" t="s">
        <v>30</v>
      </c>
      <c r="E52" s="568"/>
      <c r="F52" s="568" t="s">
        <v>30</v>
      </c>
      <c r="G52" s="568"/>
      <c r="H52" s="568"/>
      <c r="I52" s="568"/>
      <c r="J52" s="568"/>
      <c r="K52" s="630">
        <f>SUM(K49:L51)</f>
        <v>3050</v>
      </c>
      <c r="L52" s="631"/>
      <c r="M52" s="633"/>
      <c r="N52" s="633"/>
      <c r="O52" s="633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</row>
    <row r="53" spans="1:28" ht="51" customHeight="1">
      <c r="A53" s="430"/>
      <c r="B53" s="396"/>
      <c r="C53" s="396"/>
      <c r="D53" s="396"/>
      <c r="E53" s="396"/>
      <c r="F53" s="396"/>
      <c r="G53" s="396"/>
      <c r="H53" s="396"/>
      <c r="I53" s="396"/>
      <c r="J53" s="396"/>
      <c r="K53" s="400"/>
      <c r="L53" s="400"/>
      <c r="M53" s="400"/>
      <c r="N53" s="400"/>
      <c r="O53" s="400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</row>
    <row r="54" spans="1:28" ht="39" customHeight="1">
      <c r="A54" s="596" t="s">
        <v>337</v>
      </c>
      <c r="B54" s="596"/>
      <c r="C54" s="596"/>
      <c r="D54" s="596"/>
      <c r="E54" s="596"/>
      <c r="F54" s="596"/>
      <c r="G54" s="596"/>
      <c r="H54" s="596"/>
      <c r="I54" s="596"/>
      <c r="J54" s="596"/>
      <c r="K54" s="596"/>
      <c r="L54" s="596"/>
      <c r="M54" s="596"/>
      <c r="N54" s="596"/>
      <c r="O54" s="59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</row>
    <row r="55" spans="1:28" ht="48" customHeight="1">
      <c r="A55" s="574" t="s">
        <v>56</v>
      </c>
      <c r="B55" s="574"/>
      <c r="C55" s="574"/>
      <c r="D55" s="574" t="s">
        <v>695</v>
      </c>
      <c r="E55" s="574"/>
      <c r="F55" s="574"/>
      <c r="G55" s="574" t="s">
        <v>194</v>
      </c>
      <c r="H55" s="574"/>
      <c r="I55" s="574"/>
      <c r="J55" s="574" t="s">
        <v>192</v>
      </c>
      <c r="K55" s="574"/>
      <c r="L55" s="574"/>
      <c r="M55" s="574" t="s">
        <v>696</v>
      </c>
      <c r="N55" s="574"/>
      <c r="O55" s="574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</row>
    <row r="56" spans="1:28" ht="20.100000000000001" customHeight="1">
      <c r="A56" s="574">
        <v>1</v>
      </c>
      <c r="B56" s="574"/>
      <c r="C56" s="574"/>
      <c r="D56" s="574">
        <v>2</v>
      </c>
      <c r="E56" s="574"/>
      <c r="F56" s="574"/>
      <c r="G56" s="574">
        <v>3</v>
      </c>
      <c r="H56" s="574"/>
      <c r="I56" s="574"/>
      <c r="J56" s="632">
        <v>4</v>
      </c>
      <c r="K56" s="632"/>
      <c r="L56" s="632"/>
      <c r="M56" s="632">
        <v>5</v>
      </c>
      <c r="N56" s="632"/>
      <c r="O56" s="632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</row>
    <row r="57" spans="1:28" ht="30.75" customHeight="1">
      <c r="A57" s="578" t="s">
        <v>550</v>
      </c>
      <c r="B57" s="578"/>
      <c r="C57" s="578"/>
      <c r="D57" s="571">
        <f>D58+D59</f>
        <v>3050</v>
      </c>
      <c r="E57" s="572"/>
      <c r="F57" s="573"/>
      <c r="G57" s="571">
        <f>G58+G59</f>
        <v>0</v>
      </c>
      <c r="H57" s="572"/>
      <c r="I57" s="573"/>
      <c r="J57" s="571">
        <f>J58+J59</f>
        <v>1240</v>
      </c>
      <c r="K57" s="572"/>
      <c r="L57" s="573"/>
      <c r="M57" s="571">
        <f>D57+G57-J57</f>
        <v>1810</v>
      </c>
      <c r="N57" s="572"/>
      <c r="O57" s="573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</row>
    <row r="58" spans="1:28" s="244" customFormat="1" ht="26.25" customHeight="1">
      <c r="A58" s="627" t="s">
        <v>570</v>
      </c>
      <c r="B58" s="628"/>
      <c r="C58" s="629"/>
      <c r="D58" s="565">
        <f>K50</f>
        <v>2822</v>
      </c>
      <c r="E58" s="566"/>
      <c r="F58" s="567"/>
      <c r="G58" s="565"/>
      <c r="H58" s="566"/>
      <c r="I58" s="567"/>
      <c r="J58" s="565">
        <v>1058</v>
      </c>
      <c r="K58" s="566"/>
      <c r="L58" s="567"/>
      <c r="M58" s="565">
        <f t="shared" ref="M58" si="18">D58+G58-J58</f>
        <v>1764</v>
      </c>
      <c r="N58" s="566"/>
      <c r="O58" s="567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</row>
    <row r="59" spans="1:28" s="244" customFormat="1" ht="26.25" customHeight="1">
      <c r="A59" s="562" t="s">
        <v>629</v>
      </c>
      <c r="B59" s="563"/>
      <c r="C59" s="564"/>
      <c r="D59" s="565">
        <f>K49</f>
        <v>228</v>
      </c>
      <c r="E59" s="566"/>
      <c r="F59" s="567"/>
      <c r="G59" s="565"/>
      <c r="H59" s="566"/>
      <c r="I59" s="567"/>
      <c r="J59" s="565">
        <v>182</v>
      </c>
      <c r="K59" s="566"/>
      <c r="L59" s="567"/>
      <c r="M59" s="565">
        <f t="shared" ref="M59" si="19">D59+G59-J59</f>
        <v>46</v>
      </c>
      <c r="N59" s="566"/>
      <c r="O59" s="567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</row>
    <row r="60" spans="1:28" ht="28.5" customHeight="1">
      <c r="A60" s="614" t="s">
        <v>548</v>
      </c>
      <c r="B60" s="615"/>
      <c r="C60" s="616"/>
      <c r="D60" s="598">
        <f>D61</f>
        <v>0</v>
      </c>
      <c r="E60" s="598"/>
      <c r="F60" s="598"/>
      <c r="G60" s="598">
        <v>0</v>
      </c>
      <c r="H60" s="598"/>
      <c r="I60" s="598"/>
      <c r="J60" s="598">
        <f>J61</f>
        <v>0</v>
      </c>
      <c r="K60" s="598"/>
      <c r="L60" s="598"/>
      <c r="M60" s="571">
        <f t="shared" ref="M60:M63" si="20">D60+G60-J60</f>
        <v>0</v>
      </c>
      <c r="N60" s="572"/>
      <c r="O60" s="573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</row>
    <row r="61" spans="1:28" s="244" customFormat="1" ht="24" customHeight="1">
      <c r="A61" s="617"/>
      <c r="B61" s="618"/>
      <c r="C61" s="619"/>
      <c r="D61" s="599"/>
      <c r="E61" s="599"/>
      <c r="F61" s="599"/>
      <c r="G61" s="599"/>
      <c r="H61" s="599"/>
      <c r="I61" s="599"/>
      <c r="J61" s="599"/>
      <c r="K61" s="599"/>
      <c r="L61" s="599"/>
      <c r="M61" s="565">
        <f t="shared" si="20"/>
        <v>0</v>
      </c>
      <c r="N61" s="566"/>
      <c r="O61" s="567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</row>
    <row r="62" spans="1:28" ht="30" customHeight="1">
      <c r="A62" s="578" t="s">
        <v>549</v>
      </c>
      <c r="B62" s="578"/>
      <c r="C62" s="578"/>
      <c r="D62" s="598">
        <v>0</v>
      </c>
      <c r="E62" s="598"/>
      <c r="F62" s="598"/>
      <c r="G62" s="598">
        <v>0</v>
      </c>
      <c r="H62" s="598"/>
      <c r="I62" s="598"/>
      <c r="J62" s="598">
        <v>0</v>
      </c>
      <c r="K62" s="598"/>
      <c r="L62" s="598"/>
      <c r="M62" s="571">
        <f t="shared" si="20"/>
        <v>0</v>
      </c>
      <c r="N62" s="572"/>
      <c r="O62" s="573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</row>
    <row r="63" spans="1:28" ht="24" customHeight="1">
      <c r="A63" s="578"/>
      <c r="B63" s="578"/>
      <c r="C63" s="578"/>
      <c r="D63" s="598"/>
      <c r="E63" s="598"/>
      <c r="F63" s="598"/>
      <c r="G63" s="598"/>
      <c r="H63" s="598"/>
      <c r="I63" s="598"/>
      <c r="J63" s="598"/>
      <c r="K63" s="598"/>
      <c r="L63" s="598"/>
      <c r="M63" s="571">
        <f t="shared" si="20"/>
        <v>0</v>
      </c>
      <c r="N63" s="572"/>
      <c r="O63" s="573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</row>
    <row r="64" spans="1:28" ht="30" customHeight="1">
      <c r="A64" s="610" t="s">
        <v>49</v>
      </c>
      <c r="B64" s="611"/>
      <c r="C64" s="612"/>
      <c r="D64" s="613">
        <f>SUM(D57,D60,D62)</f>
        <v>3050</v>
      </c>
      <c r="E64" s="613"/>
      <c r="F64" s="613"/>
      <c r="G64" s="613">
        <f t="shared" ref="G64" si="21">SUM(G57,G60,G62)</f>
        <v>0</v>
      </c>
      <c r="H64" s="613"/>
      <c r="I64" s="613"/>
      <c r="J64" s="613">
        <f t="shared" ref="J64" si="22">SUM(J57,J60,J62)</f>
        <v>1240</v>
      </c>
      <c r="K64" s="613"/>
      <c r="L64" s="613"/>
      <c r="M64" s="613">
        <f t="shared" ref="M64" si="23">SUM(M57,M60,M62)</f>
        <v>1810</v>
      </c>
      <c r="N64" s="613"/>
      <c r="O64" s="613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</row>
    <row r="65" spans="3:5" ht="20.100000000000001" customHeight="1">
      <c r="C65" s="246"/>
      <c r="D65" s="246"/>
      <c r="E65" s="246"/>
    </row>
    <row r="66" spans="3:5" ht="63.9" customHeight="1">
      <c r="C66" s="246"/>
      <c r="D66" s="246"/>
      <c r="E66" s="246"/>
    </row>
    <row r="67" spans="3:5" ht="18" customHeight="1">
      <c r="C67" s="246"/>
      <c r="D67" s="246"/>
      <c r="E67" s="246"/>
    </row>
    <row r="68" spans="3:5" ht="20.100000000000001" customHeight="1">
      <c r="C68" s="246"/>
      <c r="D68" s="246"/>
      <c r="E68" s="246"/>
    </row>
    <row r="69" spans="3:5" ht="20.100000000000001" customHeight="1">
      <c r="C69" s="246"/>
      <c r="D69" s="246"/>
      <c r="E69" s="246"/>
    </row>
    <row r="70" spans="3:5" ht="20.100000000000001" customHeight="1">
      <c r="C70" s="246"/>
      <c r="D70" s="246"/>
      <c r="E70" s="246"/>
    </row>
    <row r="71" spans="3:5" ht="20.100000000000001" customHeight="1">
      <c r="C71" s="246"/>
      <c r="D71" s="246"/>
      <c r="E71" s="246"/>
    </row>
    <row r="72" spans="3:5" ht="20.100000000000001" customHeight="1">
      <c r="C72" s="246"/>
      <c r="D72" s="246"/>
      <c r="E72" s="246"/>
    </row>
    <row r="73" spans="3:5" ht="20.100000000000001" customHeight="1">
      <c r="C73" s="246"/>
      <c r="D73" s="246"/>
      <c r="E73" s="246"/>
    </row>
    <row r="74" spans="3:5" ht="20.100000000000001" customHeight="1">
      <c r="C74" s="246"/>
      <c r="D74" s="246"/>
      <c r="E74" s="246"/>
    </row>
    <row r="75" spans="3:5" ht="20.100000000000001" customHeight="1">
      <c r="C75" s="246"/>
      <c r="D75" s="246"/>
      <c r="E75" s="246"/>
    </row>
    <row r="76" spans="3:5" ht="20.100000000000001" customHeight="1">
      <c r="C76" s="246"/>
      <c r="D76" s="246"/>
      <c r="E76" s="246"/>
    </row>
    <row r="77" spans="3:5" ht="20.100000000000001" customHeight="1">
      <c r="C77" s="246"/>
      <c r="D77" s="246"/>
      <c r="E77" s="246"/>
    </row>
    <row r="78" spans="3:5">
      <c r="C78" s="246"/>
      <c r="D78" s="246"/>
      <c r="E78" s="246"/>
    </row>
  </sheetData>
  <sheetProtection algorithmName="SHA-512" hashValue="AV50yQaaJtWhOPRnUc7y3ZyZgw+haEvkZWMNpalKhB5pHLKT9t4HkLiAlNJBrHKdlG1LPvO8/gjaSPu3ZeTtjA==" saltValue="a+IDTVeSaTaXC0zKQF4N/g==" spinCount="100000" sheet="1" objects="1" scenarios="1" selectLockedCells="1" selectUnlockedCells="1"/>
  <mergeCells count="228">
    <mergeCell ref="A58:C58"/>
    <mergeCell ref="G58:I58"/>
    <mergeCell ref="J58:L58"/>
    <mergeCell ref="M58:O58"/>
    <mergeCell ref="K52:L52"/>
    <mergeCell ref="G57:I57"/>
    <mergeCell ref="J57:L57"/>
    <mergeCell ref="M57:O57"/>
    <mergeCell ref="D58:F58"/>
    <mergeCell ref="J56:L56"/>
    <mergeCell ref="G56:I56"/>
    <mergeCell ref="M55:O55"/>
    <mergeCell ref="A54:O54"/>
    <mergeCell ref="A55:C55"/>
    <mergeCell ref="D55:F55"/>
    <mergeCell ref="D56:F56"/>
    <mergeCell ref="M56:O56"/>
    <mergeCell ref="M52:O52"/>
    <mergeCell ref="K47:L47"/>
    <mergeCell ref="D30:F30"/>
    <mergeCell ref="B48:C48"/>
    <mergeCell ref="K48:L48"/>
    <mergeCell ref="B30:C30"/>
    <mergeCell ref="M47:O47"/>
    <mergeCell ref="M48:O48"/>
    <mergeCell ref="D47:E47"/>
    <mergeCell ref="F47:G47"/>
    <mergeCell ref="H47:J47"/>
    <mergeCell ref="F48:G48"/>
    <mergeCell ref="H48:J48"/>
    <mergeCell ref="A46:O46"/>
    <mergeCell ref="D48:E48"/>
    <mergeCell ref="G30:I30"/>
    <mergeCell ref="J30:L30"/>
    <mergeCell ref="B47:C47"/>
    <mergeCell ref="M30:O30"/>
    <mergeCell ref="A30:A31"/>
    <mergeCell ref="H50:J50"/>
    <mergeCell ref="K50:L50"/>
    <mergeCell ref="M50:O50"/>
    <mergeCell ref="M51:O51"/>
    <mergeCell ref="F51:G51"/>
    <mergeCell ref="H51:J51"/>
    <mergeCell ref="K51:L51"/>
    <mergeCell ref="D51:E51"/>
    <mergeCell ref="A64:C64"/>
    <mergeCell ref="D64:F64"/>
    <mergeCell ref="G64:I64"/>
    <mergeCell ref="J64:L64"/>
    <mergeCell ref="A60:C60"/>
    <mergeCell ref="A61:C61"/>
    <mergeCell ref="A63:C63"/>
    <mergeCell ref="A62:C62"/>
    <mergeCell ref="G62:I62"/>
    <mergeCell ref="M64:O64"/>
    <mergeCell ref="D61:F61"/>
    <mergeCell ref="G60:I60"/>
    <mergeCell ref="D60:F60"/>
    <mergeCell ref="J61:L61"/>
    <mergeCell ref="M61:O61"/>
    <mergeCell ref="J63:L63"/>
    <mergeCell ref="J62:L62"/>
    <mergeCell ref="M60:O60"/>
    <mergeCell ref="M63:O63"/>
    <mergeCell ref="M62:O62"/>
    <mergeCell ref="G61:I61"/>
    <mergeCell ref="J60:L60"/>
    <mergeCell ref="G63:I63"/>
    <mergeCell ref="D63:F63"/>
    <mergeCell ref="D62:F62"/>
    <mergeCell ref="L20:M20"/>
    <mergeCell ref="N20:O20"/>
    <mergeCell ref="A23:C23"/>
    <mergeCell ref="N21:O21"/>
    <mergeCell ref="H23:I23"/>
    <mergeCell ref="N22:O22"/>
    <mergeCell ref="J23:K23"/>
    <mergeCell ref="L23:M23"/>
    <mergeCell ref="N23:O23"/>
    <mergeCell ref="F22:G22"/>
    <mergeCell ref="D21:E21"/>
    <mergeCell ref="A22:C22"/>
    <mergeCell ref="A21:C21"/>
    <mergeCell ref="L25:M25"/>
    <mergeCell ref="J25:K25"/>
    <mergeCell ref="L22:M22"/>
    <mergeCell ref="A25:C25"/>
    <mergeCell ref="A10:C10"/>
    <mergeCell ref="D16:E16"/>
    <mergeCell ref="N16:O16"/>
    <mergeCell ref="N10:O10"/>
    <mergeCell ref="L10:M10"/>
    <mergeCell ref="N12:O12"/>
    <mergeCell ref="N15:O15"/>
    <mergeCell ref="J11:K11"/>
    <mergeCell ref="L11:M11"/>
    <mergeCell ref="N11:O11"/>
    <mergeCell ref="J15:K15"/>
    <mergeCell ref="N14:O14"/>
    <mergeCell ref="L15:M15"/>
    <mergeCell ref="J14:K14"/>
    <mergeCell ref="N13:O13"/>
    <mergeCell ref="L12:M12"/>
    <mergeCell ref="J12:K12"/>
    <mergeCell ref="A14:C14"/>
    <mergeCell ref="H15:I15"/>
    <mergeCell ref="H14:I14"/>
    <mergeCell ref="N9:O9"/>
    <mergeCell ref="D10:E10"/>
    <mergeCell ref="A9:C9"/>
    <mergeCell ref="H10:I10"/>
    <mergeCell ref="L9:M9"/>
    <mergeCell ref="H11:I11"/>
    <mergeCell ref="F11:G11"/>
    <mergeCell ref="H13:I13"/>
    <mergeCell ref="F13:G13"/>
    <mergeCell ref="J13:K13"/>
    <mergeCell ref="D13:E13"/>
    <mergeCell ref="A12:C12"/>
    <mergeCell ref="J9:K9"/>
    <mergeCell ref="D9:E9"/>
    <mergeCell ref="F9:G9"/>
    <mergeCell ref="J10:K10"/>
    <mergeCell ref="F10:G10"/>
    <mergeCell ref="H9:I9"/>
    <mergeCell ref="D12:E12"/>
    <mergeCell ref="F12:G12"/>
    <mergeCell ref="H12:I12"/>
    <mergeCell ref="A11:C11"/>
    <mergeCell ref="D11:E11"/>
    <mergeCell ref="A13:C13"/>
    <mergeCell ref="D15:E15"/>
    <mergeCell ref="F15:G15"/>
    <mergeCell ref="D17:E17"/>
    <mergeCell ref="F16:G16"/>
    <mergeCell ref="L17:M17"/>
    <mergeCell ref="F17:G17"/>
    <mergeCell ref="J17:K17"/>
    <mergeCell ref="A17:C17"/>
    <mergeCell ref="D14:E14"/>
    <mergeCell ref="A15:C15"/>
    <mergeCell ref="L16:M16"/>
    <mergeCell ref="A16:C16"/>
    <mergeCell ref="A2:O2"/>
    <mergeCell ref="A3:O3"/>
    <mergeCell ref="A4:O4"/>
    <mergeCell ref="D8:E8"/>
    <mergeCell ref="F8:G8"/>
    <mergeCell ref="A6:O6"/>
    <mergeCell ref="A8:C8"/>
    <mergeCell ref="A5:O5"/>
    <mergeCell ref="A7:O7"/>
    <mergeCell ref="J8:K8"/>
    <mergeCell ref="N8:O8"/>
    <mergeCell ref="H8:I8"/>
    <mergeCell ref="L8:M8"/>
    <mergeCell ref="A24:C24"/>
    <mergeCell ref="A29:J29"/>
    <mergeCell ref="A18:C18"/>
    <mergeCell ref="D22:E22"/>
    <mergeCell ref="A26:O26"/>
    <mergeCell ref="N25:O25"/>
    <mergeCell ref="J24:K24"/>
    <mergeCell ref="L24:M24"/>
    <mergeCell ref="N24:O24"/>
    <mergeCell ref="F24:G24"/>
    <mergeCell ref="H24:I24"/>
    <mergeCell ref="H25:I25"/>
    <mergeCell ref="L19:M19"/>
    <mergeCell ref="A20:C20"/>
    <mergeCell ref="D20:E20"/>
    <mergeCell ref="F20:G20"/>
    <mergeCell ref="H20:I20"/>
    <mergeCell ref="J20:K20"/>
    <mergeCell ref="L21:M21"/>
    <mergeCell ref="J21:K21"/>
    <mergeCell ref="A19:C19"/>
    <mergeCell ref="F18:G18"/>
    <mergeCell ref="H18:I18"/>
    <mergeCell ref="J18:K18"/>
    <mergeCell ref="F19:G19"/>
    <mergeCell ref="F25:G25"/>
    <mergeCell ref="D18:E18"/>
    <mergeCell ref="L18:M18"/>
    <mergeCell ref="N18:O18"/>
    <mergeCell ref="L14:M14"/>
    <mergeCell ref="L13:M13"/>
    <mergeCell ref="N19:O19"/>
    <mergeCell ref="H19:I19"/>
    <mergeCell ref="J19:K19"/>
    <mergeCell ref="D19:E19"/>
    <mergeCell ref="D25:E25"/>
    <mergeCell ref="F21:G21"/>
    <mergeCell ref="H21:I21"/>
    <mergeCell ref="J22:K22"/>
    <mergeCell ref="D23:E23"/>
    <mergeCell ref="F23:G23"/>
    <mergeCell ref="F14:G14"/>
    <mergeCell ref="J16:K16"/>
    <mergeCell ref="H16:I16"/>
    <mergeCell ref="H22:I22"/>
    <mergeCell ref="D24:E24"/>
    <mergeCell ref="N17:O17"/>
    <mergeCell ref="H17:I17"/>
    <mergeCell ref="B49:C49"/>
    <mergeCell ref="D49:E49"/>
    <mergeCell ref="F49:G49"/>
    <mergeCell ref="H49:J49"/>
    <mergeCell ref="K49:L49"/>
    <mergeCell ref="M49:O49"/>
    <mergeCell ref="A59:C59"/>
    <mergeCell ref="D59:F59"/>
    <mergeCell ref="G59:I59"/>
    <mergeCell ref="J59:L59"/>
    <mergeCell ref="M59:O59"/>
    <mergeCell ref="H52:J52"/>
    <mergeCell ref="B51:C51"/>
    <mergeCell ref="D57:F57"/>
    <mergeCell ref="G55:I55"/>
    <mergeCell ref="J55:L55"/>
    <mergeCell ref="B50:C50"/>
    <mergeCell ref="F50:G50"/>
    <mergeCell ref="D50:E50"/>
    <mergeCell ref="A57:C57"/>
    <mergeCell ref="A56:C56"/>
    <mergeCell ref="B52:C52"/>
    <mergeCell ref="D52:E52"/>
    <mergeCell ref="F52:G52"/>
  </mergeCells>
  <phoneticPr fontId="3" type="noConversion"/>
  <pageMargins left="0.59055118110236227" right="0.59055118110236227" top="0.98425196850393704" bottom="0.59055118110236227" header="0.15748031496062992" footer="0.15748031496062992"/>
  <pageSetup paperSize="9" scale="52" orientation="landscape" r:id="rId1"/>
  <headerFooter alignWithMargins="0"/>
  <rowBreaks count="2" manualBreakCount="2">
    <brk id="27" max="16383" man="1"/>
    <brk id="44" max="16383" man="1"/>
  </rowBreaks>
  <ignoredErrors>
    <ignoredError sqref="O10 M1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65"/>
  <sheetViews>
    <sheetView view="pageBreakPreview" topLeftCell="A17" zoomScale="62" zoomScaleNormal="60" zoomScaleSheetLayoutView="62" workbookViewId="0">
      <selection activeCell="A17" sqref="A1:XFD1048576"/>
    </sheetView>
  </sheetViews>
  <sheetFormatPr defaultColWidth="9.109375" defaultRowHeight="39" customHeight="1"/>
  <cols>
    <col min="1" max="1" width="8.33203125" style="6" customWidth="1"/>
    <col min="2" max="2" width="37.88671875" style="6" customWidth="1"/>
    <col min="3" max="5" width="12.33203125" style="6" customWidth="1"/>
    <col min="6" max="6" width="14" style="6" customWidth="1"/>
    <col min="7" max="7" width="13.5546875" style="6" customWidth="1"/>
    <col min="8" max="11" width="12" style="6" customWidth="1"/>
    <col min="12" max="12" width="13.6640625" style="6" customWidth="1"/>
    <col min="13" max="16" width="12" style="6" customWidth="1"/>
    <col min="17" max="17" width="12.33203125" style="6" customWidth="1"/>
    <col min="18" max="21" width="11.88671875" style="6" customWidth="1"/>
    <col min="22" max="22" width="13.6640625" style="6" customWidth="1"/>
    <col min="23" max="26" width="11.88671875" style="6" customWidth="1"/>
    <col min="27" max="27" width="13.5546875" style="6" customWidth="1"/>
    <col min="28" max="31" width="11.88671875" style="6" customWidth="1"/>
    <col min="32" max="16384" width="9.109375" style="6"/>
  </cols>
  <sheetData>
    <row r="1" spans="1:31" ht="33" customHeight="1">
      <c r="A1" s="396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Q1" s="296"/>
      <c r="R1" s="296"/>
      <c r="S1" s="296"/>
      <c r="T1" s="296"/>
      <c r="U1" s="296"/>
      <c r="AB1" s="657" t="s">
        <v>343</v>
      </c>
      <c r="AC1" s="658"/>
      <c r="AD1" s="658"/>
      <c r="AE1" s="658"/>
    </row>
    <row r="2" spans="1:31" ht="29.25" customHeight="1">
      <c r="B2" s="297" t="s">
        <v>338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</row>
    <row r="3" spans="1:31" ht="27" customHeight="1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664" t="s">
        <v>356</v>
      </c>
      <c r="AE3" s="665"/>
    </row>
    <row r="4" spans="1:31" ht="39" customHeight="1">
      <c r="A4" s="481" t="s">
        <v>46</v>
      </c>
      <c r="B4" s="481" t="s">
        <v>131</v>
      </c>
      <c r="C4" s="668" t="s">
        <v>132</v>
      </c>
      <c r="D4" s="669"/>
      <c r="E4" s="669"/>
      <c r="F4" s="670"/>
      <c r="G4" s="668" t="s">
        <v>189</v>
      </c>
      <c r="H4" s="669"/>
      <c r="I4" s="669"/>
      <c r="J4" s="669"/>
      <c r="K4" s="669"/>
      <c r="L4" s="669"/>
      <c r="M4" s="670"/>
      <c r="N4" s="477" t="s">
        <v>133</v>
      </c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9"/>
      <c r="Z4" s="668" t="s">
        <v>698</v>
      </c>
      <c r="AA4" s="669"/>
      <c r="AB4" s="670"/>
      <c r="AC4" s="637" t="s">
        <v>662</v>
      </c>
      <c r="AD4" s="638"/>
      <c r="AE4" s="639"/>
    </row>
    <row r="5" spans="1:31" ht="49.5" customHeight="1">
      <c r="A5" s="482"/>
      <c r="B5" s="482"/>
      <c r="C5" s="671"/>
      <c r="D5" s="672"/>
      <c r="E5" s="672"/>
      <c r="F5" s="673"/>
      <c r="G5" s="671"/>
      <c r="H5" s="672"/>
      <c r="I5" s="672"/>
      <c r="J5" s="672"/>
      <c r="K5" s="672"/>
      <c r="L5" s="672"/>
      <c r="M5" s="673"/>
      <c r="N5" s="477" t="s">
        <v>663</v>
      </c>
      <c r="O5" s="478"/>
      <c r="P5" s="478"/>
      <c r="Q5" s="479"/>
      <c r="R5" s="477" t="s">
        <v>664</v>
      </c>
      <c r="S5" s="478"/>
      <c r="T5" s="478"/>
      <c r="U5" s="479"/>
      <c r="V5" s="477" t="s">
        <v>665</v>
      </c>
      <c r="W5" s="478"/>
      <c r="X5" s="478"/>
      <c r="Y5" s="479"/>
      <c r="Z5" s="672"/>
      <c r="AA5" s="672"/>
      <c r="AB5" s="673"/>
      <c r="AC5" s="640"/>
      <c r="AD5" s="641"/>
      <c r="AE5" s="642"/>
    </row>
    <row r="6" spans="1:31" ht="31.5" customHeight="1">
      <c r="A6" s="408">
        <v>1</v>
      </c>
      <c r="B6" s="338">
        <v>2</v>
      </c>
      <c r="C6" s="477">
        <v>3</v>
      </c>
      <c r="D6" s="478"/>
      <c r="E6" s="478"/>
      <c r="F6" s="479"/>
      <c r="G6" s="477">
        <v>4</v>
      </c>
      <c r="H6" s="478"/>
      <c r="I6" s="478"/>
      <c r="J6" s="478"/>
      <c r="K6" s="478"/>
      <c r="L6" s="478"/>
      <c r="M6" s="479"/>
      <c r="N6" s="623">
        <v>5</v>
      </c>
      <c r="O6" s="624"/>
      <c r="P6" s="624"/>
      <c r="Q6" s="625"/>
      <c r="R6" s="623">
        <v>6</v>
      </c>
      <c r="S6" s="624"/>
      <c r="T6" s="624"/>
      <c r="U6" s="625"/>
      <c r="V6" s="623">
        <v>7</v>
      </c>
      <c r="W6" s="624"/>
      <c r="X6" s="624"/>
      <c r="Y6" s="625"/>
      <c r="Z6" s="624">
        <v>8</v>
      </c>
      <c r="AA6" s="624"/>
      <c r="AB6" s="625"/>
      <c r="AC6" s="623">
        <v>9</v>
      </c>
      <c r="AD6" s="624"/>
      <c r="AE6" s="625"/>
    </row>
    <row r="7" spans="1:31" ht="39" customHeight="1">
      <c r="A7" s="408"/>
      <c r="B7" s="338"/>
      <c r="C7" s="477"/>
      <c r="D7" s="478"/>
      <c r="E7" s="478"/>
      <c r="F7" s="479"/>
      <c r="G7" s="689"/>
      <c r="H7" s="690"/>
      <c r="I7" s="690"/>
      <c r="J7" s="690"/>
      <c r="K7" s="690"/>
      <c r="L7" s="690"/>
      <c r="M7" s="691"/>
      <c r="N7" s="666"/>
      <c r="O7" s="688"/>
      <c r="P7" s="688"/>
      <c r="Q7" s="667"/>
      <c r="R7" s="666"/>
      <c r="S7" s="688"/>
      <c r="T7" s="688"/>
      <c r="U7" s="667"/>
      <c r="V7" s="666"/>
      <c r="W7" s="688"/>
      <c r="X7" s="688"/>
      <c r="Y7" s="667"/>
      <c r="Z7" s="636"/>
      <c r="AA7" s="636"/>
      <c r="AB7" s="586"/>
      <c r="AC7" s="585"/>
      <c r="AD7" s="636"/>
      <c r="AE7" s="586"/>
    </row>
    <row r="8" spans="1:31" s="136" customFormat="1" ht="39" customHeight="1">
      <c r="A8" s="679" t="s">
        <v>49</v>
      </c>
      <c r="B8" s="680"/>
      <c r="C8" s="695"/>
      <c r="D8" s="696"/>
      <c r="E8" s="696"/>
      <c r="F8" s="697"/>
      <c r="G8" s="698"/>
      <c r="H8" s="699"/>
      <c r="I8" s="699"/>
      <c r="J8" s="699"/>
      <c r="K8" s="699"/>
      <c r="L8" s="699"/>
      <c r="M8" s="700"/>
      <c r="N8" s="660">
        <f>SUM(N7:N7)</f>
        <v>0</v>
      </c>
      <c r="O8" s="661"/>
      <c r="P8" s="661"/>
      <c r="Q8" s="662"/>
      <c r="R8" s="660">
        <f>SUM(R7:R7)</f>
        <v>0</v>
      </c>
      <c r="S8" s="661"/>
      <c r="T8" s="661"/>
      <c r="U8" s="662"/>
      <c r="V8" s="660">
        <f>SUM(V7:V7)</f>
        <v>0</v>
      </c>
      <c r="W8" s="661"/>
      <c r="X8" s="661"/>
      <c r="Y8" s="662"/>
      <c r="Z8" s="704"/>
      <c r="AA8" s="704"/>
      <c r="AB8" s="584"/>
      <c r="AC8" s="583"/>
      <c r="AD8" s="704"/>
      <c r="AE8" s="584"/>
    </row>
    <row r="9" spans="1:31" ht="18.75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3"/>
      <c r="N9" s="133"/>
      <c r="O9" s="133"/>
      <c r="P9" s="133"/>
      <c r="Q9" s="216"/>
      <c r="R9" s="216"/>
      <c r="S9" s="216"/>
      <c r="T9" s="216"/>
      <c r="U9" s="216"/>
      <c r="V9" s="216"/>
      <c r="W9" s="299"/>
      <c r="X9" s="299"/>
      <c r="Y9" s="299"/>
      <c r="Z9" s="299"/>
      <c r="AA9" s="299"/>
      <c r="AB9" s="299"/>
      <c r="AC9" s="299"/>
      <c r="AD9" s="299"/>
      <c r="AE9" s="299"/>
    </row>
    <row r="10" spans="1:31" s="297" customFormat="1" ht="33" customHeight="1">
      <c r="B10" s="297" t="s">
        <v>339</v>
      </c>
    </row>
    <row r="11" spans="1:31" s="297" customFormat="1" ht="28.5" customHeight="1">
      <c r="AD11" s="395" t="s">
        <v>356</v>
      </c>
    </row>
    <row r="12" spans="1:31" ht="39" customHeight="1">
      <c r="A12" s="527" t="s">
        <v>46</v>
      </c>
      <c r="B12" s="527" t="s">
        <v>134</v>
      </c>
      <c r="C12" s="488" t="s">
        <v>131</v>
      </c>
      <c r="D12" s="488"/>
      <c r="E12" s="488"/>
      <c r="F12" s="488"/>
      <c r="G12" s="668" t="s">
        <v>189</v>
      </c>
      <c r="H12" s="669"/>
      <c r="I12" s="669"/>
      <c r="J12" s="669"/>
      <c r="K12" s="669"/>
      <c r="L12" s="669"/>
      <c r="M12" s="670"/>
      <c r="N12" s="668" t="s">
        <v>135</v>
      </c>
      <c r="O12" s="669"/>
      <c r="P12" s="670"/>
      <c r="Q12" s="477" t="s">
        <v>133</v>
      </c>
      <c r="R12" s="478"/>
      <c r="S12" s="478"/>
      <c r="T12" s="478"/>
      <c r="U12" s="478"/>
      <c r="V12" s="478"/>
      <c r="W12" s="478"/>
      <c r="X12" s="478"/>
      <c r="Y12" s="479"/>
      <c r="Z12" s="668" t="s">
        <v>698</v>
      </c>
      <c r="AA12" s="669"/>
      <c r="AB12" s="670"/>
      <c r="AC12" s="637" t="s">
        <v>662</v>
      </c>
      <c r="AD12" s="638"/>
      <c r="AE12" s="639"/>
    </row>
    <row r="13" spans="1:31" ht="63" customHeight="1">
      <c r="A13" s="527"/>
      <c r="B13" s="527"/>
      <c r="C13" s="488"/>
      <c r="D13" s="488"/>
      <c r="E13" s="488"/>
      <c r="F13" s="488"/>
      <c r="G13" s="701"/>
      <c r="H13" s="702"/>
      <c r="I13" s="702"/>
      <c r="J13" s="702"/>
      <c r="K13" s="702"/>
      <c r="L13" s="702"/>
      <c r="M13" s="703"/>
      <c r="N13" s="701"/>
      <c r="O13" s="702"/>
      <c r="P13" s="703"/>
      <c r="Q13" s="477" t="s">
        <v>663</v>
      </c>
      <c r="R13" s="478"/>
      <c r="S13" s="479"/>
      <c r="T13" s="477" t="s">
        <v>664</v>
      </c>
      <c r="U13" s="478"/>
      <c r="V13" s="479"/>
      <c r="W13" s="477" t="s">
        <v>666</v>
      </c>
      <c r="X13" s="478"/>
      <c r="Y13" s="479"/>
      <c r="Z13" s="672"/>
      <c r="AA13" s="672"/>
      <c r="AB13" s="673"/>
      <c r="AC13" s="640"/>
      <c r="AD13" s="641"/>
      <c r="AE13" s="642"/>
    </row>
    <row r="14" spans="1:31" ht="30" customHeight="1">
      <c r="A14" s="408">
        <v>1</v>
      </c>
      <c r="B14" s="408">
        <v>2</v>
      </c>
      <c r="C14" s="477">
        <v>3</v>
      </c>
      <c r="D14" s="478"/>
      <c r="E14" s="478"/>
      <c r="F14" s="479"/>
      <c r="G14" s="477">
        <v>4</v>
      </c>
      <c r="H14" s="478"/>
      <c r="I14" s="478"/>
      <c r="J14" s="478"/>
      <c r="K14" s="478"/>
      <c r="L14" s="478"/>
      <c r="M14" s="479"/>
      <c r="N14" s="477">
        <v>5</v>
      </c>
      <c r="O14" s="478"/>
      <c r="P14" s="479"/>
      <c r="Q14" s="477">
        <v>6</v>
      </c>
      <c r="R14" s="478"/>
      <c r="S14" s="479"/>
      <c r="T14" s="477">
        <v>7</v>
      </c>
      <c r="U14" s="478"/>
      <c r="V14" s="479"/>
      <c r="W14" s="477">
        <v>8</v>
      </c>
      <c r="X14" s="478"/>
      <c r="Y14" s="479"/>
      <c r="Z14" s="477">
        <v>9</v>
      </c>
      <c r="AA14" s="478"/>
      <c r="AB14" s="479"/>
      <c r="AC14" s="477">
        <v>10</v>
      </c>
      <c r="AD14" s="478"/>
      <c r="AE14" s="479"/>
    </row>
    <row r="15" spans="1:31" ht="39" customHeight="1">
      <c r="A15" s="339"/>
      <c r="B15" s="340"/>
      <c r="C15" s="646"/>
      <c r="D15" s="646"/>
      <c r="E15" s="646"/>
      <c r="F15" s="646"/>
      <c r="G15" s="689"/>
      <c r="H15" s="690"/>
      <c r="I15" s="690"/>
      <c r="J15" s="690"/>
      <c r="K15" s="690"/>
      <c r="L15" s="690"/>
      <c r="M15" s="691"/>
      <c r="N15" s="643"/>
      <c r="O15" s="644"/>
      <c r="P15" s="645"/>
      <c r="Q15" s="647"/>
      <c r="R15" s="648"/>
      <c r="S15" s="649"/>
      <c r="T15" s="647"/>
      <c r="U15" s="648"/>
      <c r="V15" s="649"/>
      <c r="W15" s="647"/>
      <c r="X15" s="648"/>
      <c r="Y15" s="649"/>
      <c r="Z15" s="636"/>
      <c r="AA15" s="636"/>
      <c r="AB15" s="586"/>
      <c r="AC15" s="636"/>
      <c r="AD15" s="636"/>
      <c r="AE15" s="586"/>
    </row>
    <row r="16" spans="1:31" ht="39" customHeight="1">
      <c r="A16" s="677" t="s">
        <v>49</v>
      </c>
      <c r="B16" s="678"/>
      <c r="C16" s="646"/>
      <c r="D16" s="646"/>
      <c r="E16" s="646"/>
      <c r="F16" s="646"/>
      <c r="G16" s="689"/>
      <c r="H16" s="690"/>
      <c r="I16" s="690"/>
      <c r="J16" s="690"/>
      <c r="K16" s="690"/>
      <c r="L16" s="690"/>
      <c r="M16" s="691"/>
      <c r="N16" s="643"/>
      <c r="O16" s="644"/>
      <c r="P16" s="645"/>
      <c r="Q16" s="647">
        <f>SUM(Q15:Q15)</f>
        <v>0</v>
      </c>
      <c r="R16" s="648"/>
      <c r="S16" s="649"/>
      <c r="T16" s="647">
        <f>SUM(T15:T15)</f>
        <v>0</v>
      </c>
      <c r="U16" s="648"/>
      <c r="V16" s="649"/>
      <c r="W16" s="647">
        <f>SUM(W15:W15)</f>
        <v>0</v>
      </c>
      <c r="X16" s="648"/>
      <c r="Y16" s="649"/>
      <c r="Z16" s="636"/>
      <c r="AA16" s="636"/>
      <c r="AB16" s="586"/>
      <c r="AC16" s="636"/>
      <c r="AD16" s="636"/>
      <c r="AE16" s="586"/>
    </row>
    <row r="17" spans="1:31" ht="39" customHeight="1">
      <c r="A17" s="396"/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Q17" s="296"/>
      <c r="R17" s="296"/>
      <c r="S17" s="296"/>
      <c r="T17" s="296"/>
      <c r="U17" s="296"/>
      <c r="AE17" s="296"/>
    </row>
    <row r="18" spans="1:31" s="297" customFormat="1" ht="30" customHeight="1">
      <c r="B18" s="297" t="s">
        <v>340</v>
      </c>
    </row>
    <row r="19" spans="1:31" ht="39" customHeight="1">
      <c r="A19" s="300"/>
      <c r="B19" s="300"/>
      <c r="C19" s="300"/>
      <c r="D19" s="300"/>
      <c r="E19" s="300"/>
      <c r="F19" s="300"/>
      <c r="G19" s="300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300"/>
      <c r="AE19" s="296" t="s">
        <v>314</v>
      </c>
    </row>
    <row r="20" spans="1:31" ht="39" customHeight="1">
      <c r="A20" s="488" t="s">
        <v>46</v>
      </c>
      <c r="B20" s="488" t="s">
        <v>154</v>
      </c>
      <c r="C20" s="488"/>
      <c r="D20" s="488"/>
      <c r="E20" s="488"/>
      <c r="F20" s="488"/>
      <c r="G20" s="488" t="s">
        <v>48</v>
      </c>
      <c r="H20" s="488"/>
      <c r="I20" s="488"/>
      <c r="J20" s="488"/>
      <c r="K20" s="488"/>
      <c r="L20" s="488" t="s">
        <v>76</v>
      </c>
      <c r="M20" s="488"/>
      <c r="N20" s="488"/>
      <c r="O20" s="488"/>
      <c r="P20" s="488"/>
      <c r="Q20" s="488" t="s">
        <v>175</v>
      </c>
      <c r="R20" s="488"/>
      <c r="S20" s="488"/>
      <c r="T20" s="488"/>
      <c r="U20" s="488"/>
      <c r="V20" s="488" t="s">
        <v>593</v>
      </c>
      <c r="W20" s="488"/>
      <c r="X20" s="488"/>
      <c r="Y20" s="488"/>
      <c r="Z20" s="488"/>
      <c r="AA20" s="488" t="s">
        <v>49</v>
      </c>
      <c r="AB20" s="488"/>
      <c r="AC20" s="488"/>
      <c r="AD20" s="488"/>
      <c r="AE20" s="488"/>
    </row>
    <row r="21" spans="1:31" ht="39" customHeight="1">
      <c r="A21" s="488"/>
      <c r="B21" s="488"/>
      <c r="C21" s="488"/>
      <c r="D21" s="488"/>
      <c r="E21" s="488"/>
      <c r="F21" s="488"/>
      <c r="G21" s="488" t="s">
        <v>71</v>
      </c>
      <c r="H21" s="488" t="s">
        <v>77</v>
      </c>
      <c r="I21" s="488"/>
      <c r="J21" s="488"/>
      <c r="K21" s="488"/>
      <c r="L21" s="488" t="s">
        <v>71</v>
      </c>
      <c r="M21" s="488" t="s">
        <v>77</v>
      </c>
      <c r="N21" s="488"/>
      <c r="O21" s="488"/>
      <c r="P21" s="488"/>
      <c r="Q21" s="488" t="s">
        <v>71</v>
      </c>
      <c r="R21" s="488" t="s">
        <v>77</v>
      </c>
      <c r="S21" s="488"/>
      <c r="T21" s="488"/>
      <c r="U21" s="488"/>
      <c r="V21" s="488" t="s">
        <v>71</v>
      </c>
      <c r="W21" s="488" t="s">
        <v>77</v>
      </c>
      <c r="X21" s="488"/>
      <c r="Y21" s="488"/>
      <c r="Z21" s="488"/>
      <c r="AA21" s="488" t="s">
        <v>71</v>
      </c>
      <c r="AB21" s="488" t="s">
        <v>77</v>
      </c>
      <c r="AC21" s="488"/>
      <c r="AD21" s="488"/>
      <c r="AE21" s="488"/>
    </row>
    <row r="22" spans="1:31" ht="39" customHeight="1">
      <c r="A22" s="488"/>
      <c r="B22" s="488"/>
      <c r="C22" s="488"/>
      <c r="D22" s="488"/>
      <c r="E22" s="488"/>
      <c r="F22" s="488"/>
      <c r="G22" s="488"/>
      <c r="H22" s="397" t="s">
        <v>65</v>
      </c>
      <c r="I22" s="397" t="s">
        <v>66</v>
      </c>
      <c r="J22" s="397" t="s">
        <v>64</v>
      </c>
      <c r="K22" s="397" t="s">
        <v>63</v>
      </c>
      <c r="L22" s="488"/>
      <c r="M22" s="397" t="s">
        <v>65</v>
      </c>
      <c r="N22" s="397" t="s">
        <v>66</v>
      </c>
      <c r="O22" s="397" t="s">
        <v>64</v>
      </c>
      <c r="P22" s="397" t="s">
        <v>63</v>
      </c>
      <c r="Q22" s="488"/>
      <c r="R22" s="397" t="s">
        <v>65</v>
      </c>
      <c r="S22" s="397" t="s">
        <v>66</v>
      </c>
      <c r="T22" s="397" t="s">
        <v>64</v>
      </c>
      <c r="U22" s="397" t="s">
        <v>63</v>
      </c>
      <c r="V22" s="488"/>
      <c r="W22" s="397" t="s">
        <v>65</v>
      </c>
      <c r="X22" s="397" t="s">
        <v>66</v>
      </c>
      <c r="Y22" s="397" t="s">
        <v>64</v>
      </c>
      <c r="Z22" s="397" t="s">
        <v>63</v>
      </c>
      <c r="AA22" s="488"/>
      <c r="AB22" s="397" t="s">
        <v>65</v>
      </c>
      <c r="AC22" s="397" t="s">
        <v>66</v>
      </c>
      <c r="AD22" s="397" t="s">
        <v>64</v>
      </c>
      <c r="AE22" s="397" t="s">
        <v>63</v>
      </c>
    </row>
    <row r="23" spans="1:31" ht="31.5" customHeight="1">
      <c r="A23" s="397">
        <v>1</v>
      </c>
      <c r="B23" s="488">
        <v>2</v>
      </c>
      <c r="C23" s="488"/>
      <c r="D23" s="488"/>
      <c r="E23" s="488"/>
      <c r="F23" s="488"/>
      <c r="G23" s="397">
        <v>3</v>
      </c>
      <c r="H23" s="397">
        <v>4</v>
      </c>
      <c r="I23" s="397">
        <v>5</v>
      </c>
      <c r="J23" s="397">
        <v>6</v>
      </c>
      <c r="K23" s="397">
        <v>7</v>
      </c>
      <c r="L23" s="397">
        <v>8</v>
      </c>
      <c r="M23" s="397">
        <v>9</v>
      </c>
      <c r="N23" s="397">
        <v>10</v>
      </c>
      <c r="O23" s="397">
        <v>11</v>
      </c>
      <c r="P23" s="397">
        <v>12</v>
      </c>
      <c r="Q23" s="397">
        <v>13</v>
      </c>
      <c r="R23" s="397">
        <v>14</v>
      </c>
      <c r="S23" s="397">
        <v>15</v>
      </c>
      <c r="T23" s="397">
        <v>16</v>
      </c>
      <c r="U23" s="397">
        <v>17</v>
      </c>
      <c r="V23" s="398">
        <v>18</v>
      </c>
      <c r="W23" s="398">
        <v>19</v>
      </c>
      <c r="X23" s="398">
        <v>20</v>
      </c>
      <c r="Y23" s="398">
        <v>21</v>
      </c>
      <c r="Z23" s="398">
        <v>22</v>
      </c>
      <c r="AA23" s="398">
        <v>23</v>
      </c>
      <c r="AB23" s="398">
        <v>24</v>
      </c>
      <c r="AC23" s="398">
        <v>25</v>
      </c>
      <c r="AD23" s="398">
        <v>26</v>
      </c>
      <c r="AE23" s="398">
        <v>27</v>
      </c>
    </row>
    <row r="24" spans="1:31" s="263" customFormat="1" ht="45" hidden="1" customHeight="1">
      <c r="A24" s="151">
        <v>1</v>
      </c>
      <c r="B24" s="682" t="s">
        <v>512</v>
      </c>
      <c r="C24" s="683"/>
      <c r="D24" s="683"/>
      <c r="E24" s="683"/>
      <c r="F24" s="684"/>
      <c r="G24" s="262">
        <f>SUM(H24:K24)</f>
        <v>0</v>
      </c>
      <c r="H24" s="261">
        <f>SUM(H27)</f>
        <v>0</v>
      </c>
      <c r="I24" s="261">
        <f t="shared" ref="I24" si="0">SUM(I27)</f>
        <v>0</v>
      </c>
      <c r="J24" s="261">
        <f t="shared" ref="J24" si="1">SUM(J27)</f>
        <v>0</v>
      </c>
      <c r="K24" s="289">
        <f>K25</f>
        <v>0</v>
      </c>
      <c r="L24" s="262" t="e">
        <f>SUM(M24:P24)</f>
        <v>#REF!</v>
      </c>
      <c r="M24" s="262" t="e">
        <f>SUM(M27)</f>
        <v>#REF!</v>
      </c>
      <c r="N24" s="262">
        <f t="shared" ref="N24:P24" si="2">SUM(N27)</f>
        <v>0</v>
      </c>
      <c r="O24" s="262">
        <f t="shared" si="2"/>
        <v>0</v>
      </c>
      <c r="P24" s="262" t="e">
        <f t="shared" si="2"/>
        <v>#REF!</v>
      </c>
      <c r="Q24" s="262">
        <f t="shared" ref="Q24:Q32" si="3">SUM(R24:U24)</f>
        <v>0</v>
      </c>
      <c r="R24" s="262">
        <f>SUM(R25:R26)</f>
        <v>0</v>
      </c>
      <c r="S24" s="262">
        <f t="shared" ref="S24:U24" si="4">SUM(S25:S26)</f>
        <v>0</v>
      </c>
      <c r="T24" s="262">
        <f t="shared" si="4"/>
        <v>0</v>
      </c>
      <c r="U24" s="262">
        <f t="shared" si="4"/>
        <v>0</v>
      </c>
      <c r="V24" s="262">
        <f t="shared" ref="V24:V26" si="5">SUM(W24:Z24)</f>
        <v>0</v>
      </c>
      <c r="W24" s="262">
        <f t="shared" ref="W24" si="6">SUM(W27)</f>
        <v>0</v>
      </c>
      <c r="X24" s="262">
        <f t="shared" ref="X24" si="7">SUM(X27)</f>
        <v>0</v>
      </c>
      <c r="Y24" s="262">
        <f t="shared" ref="Y24" si="8">SUM(Y27)</f>
        <v>0</v>
      </c>
      <c r="Z24" s="262">
        <f>SUM(Z25:Z27)</f>
        <v>0</v>
      </c>
      <c r="AA24" s="262" t="e">
        <f t="shared" ref="AA24" si="9">SUM(AB24:AE24)</f>
        <v>#REF!</v>
      </c>
      <c r="AB24" s="262" t="e">
        <f t="shared" ref="AB24" si="10">SUM(AB27)</f>
        <v>#REF!</v>
      </c>
      <c r="AC24" s="262">
        <f t="shared" ref="AC24" si="11">SUM(AC27)</f>
        <v>0</v>
      </c>
      <c r="AD24" s="262">
        <f t="shared" ref="AD24" si="12">SUM(AD27)</f>
        <v>0</v>
      </c>
      <c r="AE24" s="262" t="e">
        <f>AE25+AE26+AE27</f>
        <v>#REF!</v>
      </c>
    </row>
    <row r="25" spans="1:31" s="263" customFormat="1" ht="1.5" hidden="1" customHeight="1">
      <c r="A25" s="151"/>
      <c r="B25" s="587" t="s">
        <v>630</v>
      </c>
      <c r="C25" s="471"/>
      <c r="D25" s="471"/>
      <c r="E25" s="471"/>
      <c r="F25" s="588"/>
      <c r="G25" s="423"/>
      <c r="H25" s="423"/>
      <c r="I25" s="423"/>
      <c r="J25" s="423"/>
      <c r="K25" s="426"/>
      <c r="L25" s="117"/>
      <c r="M25" s="117"/>
      <c r="N25" s="117"/>
      <c r="O25" s="117"/>
      <c r="P25" s="117"/>
      <c r="Q25" s="262">
        <f t="shared" si="3"/>
        <v>0</v>
      </c>
      <c r="R25" s="117"/>
      <c r="S25" s="117"/>
      <c r="T25" s="117"/>
      <c r="U25" s="117"/>
      <c r="V25" s="116">
        <f t="shared" si="5"/>
        <v>0</v>
      </c>
      <c r="W25" s="117"/>
      <c r="X25" s="117"/>
      <c r="Y25" s="117"/>
      <c r="Z25" s="117"/>
      <c r="AA25" s="264">
        <f t="shared" ref="AA25:AA32" si="13">AB25+AC25+AD25+AE25</f>
        <v>0</v>
      </c>
      <c r="AB25" s="117"/>
      <c r="AC25" s="117"/>
      <c r="AD25" s="117"/>
      <c r="AE25" s="116">
        <f>K25+P25+U25+Z25</f>
        <v>0</v>
      </c>
    </row>
    <row r="26" spans="1:31" s="263" customFormat="1" ht="36" hidden="1" customHeight="1">
      <c r="A26" s="151"/>
      <c r="B26" s="587" t="s">
        <v>631</v>
      </c>
      <c r="C26" s="471"/>
      <c r="D26" s="471"/>
      <c r="E26" s="471"/>
      <c r="F26" s="588"/>
      <c r="G26" s="423"/>
      <c r="H26" s="423"/>
      <c r="I26" s="423"/>
      <c r="J26" s="423"/>
      <c r="K26" s="426"/>
      <c r="L26" s="117"/>
      <c r="M26" s="117"/>
      <c r="N26" s="117"/>
      <c r="O26" s="117"/>
      <c r="P26" s="117"/>
      <c r="Q26" s="116">
        <f t="shared" si="3"/>
        <v>0</v>
      </c>
      <c r="R26" s="117"/>
      <c r="S26" s="117"/>
      <c r="T26" s="117"/>
      <c r="U26" s="116"/>
      <c r="V26" s="116">
        <f t="shared" si="5"/>
        <v>0</v>
      </c>
      <c r="W26" s="117"/>
      <c r="X26" s="117"/>
      <c r="Y26" s="117"/>
      <c r="Z26" s="116"/>
      <c r="AA26" s="264">
        <f t="shared" si="13"/>
        <v>0</v>
      </c>
      <c r="AB26" s="117"/>
      <c r="AC26" s="117"/>
      <c r="AD26" s="117"/>
      <c r="AE26" s="116">
        <f>K26+P26+U26+Z26</f>
        <v>0</v>
      </c>
    </row>
    <row r="27" spans="1:31" ht="39" hidden="1" customHeight="1">
      <c r="A27" s="397"/>
      <c r="B27" s="643" t="s">
        <v>556</v>
      </c>
      <c r="C27" s="644"/>
      <c r="D27" s="644"/>
      <c r="E27" s="644"/>
      <c r="F27" s="645"/>
      <c r="G27" s="116">
        <f t="shared" ref="G27" si="14">SUM(H27:K27)</f>
        <v>0</v>
      </c>
      <c r="H27" s="397"/>
      <c r="I27" s="397"/>
      <c r="J27" s="397"/>
      <c r="K27" s="397"/>
      <c r="L27" s="116" t="e">
        <f t="shared" ref="L27" si="15">SUM(M27:P27)</f>
        <v>#REF!</v>
      </c>
      <c r="M27" s="116" t="e">
        <f>'Розшифровка кап'!#REF!</f>
        <v>#REF!</v>
      </c>
      <c r="N27" s="116"/>
      <c r="O27" s="116"/>
      <c r="P27" s="116" t="e">
        <f>'Розшифровка кап'!#REF!</f>
        <v>#REF!</v>
      </c>
      <c r="Q27" s="262">
        <f t="shared" si="3"/>
        <v>0</v>
      </c>
      <c r="R27" s="116"/>
      <c r="S27" s="116"/>
      <c r="T27" s="116"/>
      <c r="U27" s="116"/>
      <c r="V27" s="264"/>
      <c r="W27" s="264"/>
      <c r="X27" s="264"/>
      <c r="Y27" s="264"/>
      <c r="Z27" s="264"/>
      <c r="AA27" s="264" t="e">
        <f t="shared" si="13"/>
        <v>#REF!</v>
      </c>
      <c r="AB27" s="264" t="e">
        <f>H27+M27+R27+W27</f>
        <v>#REF!</v>
      </c>
      <c r="AC27" s="264">
        <f t="shared" ref="AC27" si="16">I27+N27+S27+X27</f>
        <v>0</v>
      </c>
      <c r="AD27" s="264">
        <f t="shared" ref="AD27:AD28" si="17">J27+O27+T27+Y27</f>
        <v>0</v>
      </c>
      <c r="AE27" s="264" t="e">
        <f t="shared" ref="AE27:AE28" si="18">K27+P27+U27+Z27</f>
        <v>#REF!</v>
      </c>
    </row>
    <row r="28" spans="1:31" ht="39" hidden="1" customHeight="1">
      <c r="A28" s="461">
        <v>1</v>
      </c>
      <c r="B28" s="655" t="s">
        <v>647</v>
      </c>
      <c r="C28" s="656"/>
      <c r="D28" s="656"/>
      <c r="E28" s="656"/>
      <c r="F28" s="656"/>
      <c r="G28" s="462"/>
      <c r="H28" s="462"/>
      <c r="I28" s="462"/>
      <c r="J28" s="462"/>
      <c r="K28" s="462"/>
      <c r="L28" s="463">
        <f>M28+N28+O28+P28</f>
        <v>0</v>
      </c>
      <c r="M28" s="116"/>
      <c r="N28" s="116"/>
      <c r="O28" s="116"/>
      <c r="P28" s="116"/>
      <c r="Q28" s="262">
        <f t="shared" si="3"/>
        <v>0</v>
      </c>
      <c r="R28" s="116"/>
      <c r="S28" s="116"/>
      <c r="T28" s="116"/>
      <c r="U28" s="116"/>
      <c r="V28" s="264"/>
      <c r="W28" s="264"/>
      <c r="X28" s="264"/>
      <c r="Y28" s="264"/>
      <c r="Z28" s="264"/>
      <c r="AA28" s="344">
        <f t="shared" si="13"/>
        <v>0</v>
      </c>
      <c r="AB28" s="262">
        <f>H28+M28+R28+W28</f>
        <v>0</v>
      </c>
      <c r="AC28" s="262">
        <f>I28+N28+S28+X28</f>
        <v>0</v>
      </c>
      <c r="AD28" s="262">
        <f t="shared" si="17"/>
        <v>0</v>
      </c>
      <c r="AE28" s="262">
        <f t="shared" si="18"/>
        <v>0</v>
      </c>
    </row>
    <row r="29" spans="1:31" ht="39" hidden="1" customHeight="1">
      <c r="A29" s="461"/>
      <c r="B29" s="685" t="s">
        <v>645</v>
      </c>
      <c r="C29" s="686"/>
      <c r="D29" s="686"/>
      <c r="E29" s="686"/>
      <c r="F29" s="686"/>
      <c r="G29" s="462"/>
      <c r="H29" s="462"/>
      <c r="I29" s="462"/>
      <c r="J29" s="462"/>
      <c r="K29" s="462"/>
      <c r="L29" s="464">
        <f t="shared" ref="L29:L32" si="19">M29+N29+O29+P29</f>
        <v>0</v>
      </c>
      <c r="M29" s="116"/>
      <c r="N29" s="116"/>
      <c r="O29" s="116"/>
      <c r="P29" s="116"/>
      <c r="Q29" s="262"/>
      <c r="R29" s="116"/>
      <c r="S29" s="116"/>
      <c r="T29" s="116"/>
      <c r="U29" s="116"/>
      <c r="V29" s="264"/>
      <c r="W29" s="264"/>
      <c r="X29" s="264"/>
      <c r="Y29" s="264"/>
      <c r="Z29" s="264"/>
      <c r="AA29" s="344">
        <f>AB29+AC29+AD29+AE29</f>
        <v>0</v>
      </c>
      <c r="AB29" s="262">
        <f t="shared" ref="AB29:AB30" si="20">H29+M29+R29+W29</f>
        <v>0</v>
      </c>
      <c r="AC29" s="262">
        <f t="shared" ref="AC29:AE32" si="21">I29+N29+S29+X29</f>
        <v>0</v>
      </c>
      <c r="AD29" s="262">
        <f t="shared" si="21"/>
        <v>0</v>
      </c>
      <c r="AE29" s="262">
        <f t="shared" si="21"/>
        <v>0</v>
      </c>
    </row>
    <row r="30" spans="1:31" ht="39" hidden="1" customHeight="1">
      <c r="A30" s="461"/>
      <c r="B30" s="685" t="s">
        <v>646</v>
      </c>
      <c r="C30" s="686"/>
      <c r="D30" s="686"/>
      <c r="E30" s="686"/>
      <c r="F30" s="686"/>
      <c r="G30" s="462"/>
      <c r="H30" s="462"/>
      <c r="I30" s="462"/>
      <c r="J30" s="462"/>
      <c r="K30" s="462"/>
      <c r="L30" s="464">
        <f t="shared" si="19"/>
        <v>0</v>
      </c>
      <c r="M30" s="116"/>
      <c r="N30" s="116"/>
      <c r="O30" s="116"/>
      <c r="P30" s="116"/>
      <c r="Q30" s="262"/>
      <c r="R30" s="116"/>
      <c r="S30" s="116"/>
      <c r="T30" s="116"/>
      <c r="U30" s="116"/>
      <c r="V30" s="264"/>
      <c r="W30" s="264"/>
      <c r="X30" s="264"/>
      <c r="Y30" s="264"/>
      <c r="Z30" s="264"/>
      <c r="AA30" s="344">
        <f t="shared" si="13"/>
        <v>0</v>
      </c>
      <c r="AB30" s="262">
        <f t="shared" si="20"/>
        <v>0</v>
      </c>
      <c r="AC30" s="262">
        <f t="shared" si="21"/>
        <v>0</v>
      </c>
      <c r="AD30" s="262">
        <f t="shared" si="21"/>
        <v>0</v>
      </c>
      <c r="AE30" s="262">
        <f t="shared" si="21"/>
        <v>0</v>
      </c>
    </row>
    <row r="31" spans="1:31" ht="39" hidden="1" customHeight="1">
      <c r="A31" s="461"/>
      <c r="B31" s="685" t="s">
        <v>649</v>
      </c>
      <c r="C31" s="686"/>
      <c r="D31" s="686"/>
      <c r="E31" s="686"/>
      <c r="F31" s="686"/>
      <c r="G31" s="465"/>
      <c r="H31" s="465"/>
      <c r="I31" s="465"/>
      <c r="J31" s="465"/>
      <c r="K31" s="465"/>
      <c r="L31" s="464">
        <f t="shared" si="19"/>
        <v>0</v>
      </c>
      <c r="M31" s="116"/>
      <c r="N31" s="116"/>
      <c r="O31" s="116"/>
      <c r="P31" s="116"/>
      <c r="Q31" s="116">
        <f t="shared" si="3"/>
        <v>0</v>
      </c>
      <c r="R31" s="116"/>
      <c r="S31" s="116"/>
      <c r="T31" s="116"/>
      <c r="U31" s="116"/>
      <c r="V31" s="264"/>
      <c r="W31" s="264"/>
      <c r="X31" s="264"/>
      <c r="Y31" s="264"/>
      <c r="Z31" s="264"/>
      <c r="AA31" s="344">
        <f t="shared" si="13"/>
        <v>0</v>
      </c>
      <c r="AB31" s="262">
        <f>H31+M31+R31+W31</f>
        <v>0</v>
      </c>
      <c r="AC31" s="262">
        <f t="shared" si="21"/>
        <v>0</v>
      </c>
      <c r="AD31" s="262">
        <f t="shared" si="21"/>
        <v>0</v>
      </c>
      <c r="AE31" s="262">
        <f t="shared" si="21"/>
        <v>0</v>
      </c>
    </row>
    <row r="32" spans="1:31" ht="39" hidden="1" customHeight="1">
      <c r="A32" s="461"/>
      <c r="B32" s="685"/>
      <c r="C32" s="686"/>
      <c r="D32" s="686"/>
      <c r="E32" s="686"/>
      <c r="F32" s="686"/>
      <c r="G32" s="465"/>
      <c r="H32" s="465"/>
      <c r="I32" s="465"/>
      <c r="J32" s="465"/>
      <c r="K32" s="465"/>
      <c r="L32" s="464">
        <f t="shared" si="19"/>
        <v>0</v>
      </c>
      <c r="M32" s="116"/>
      <c r="N32" s="116"/>
      <c r="O32" s="116"/>
      <c r="P32" s="116"/>
      <c r="Q32" s="262">
        <f t="shared" si="3"/>
        <v>0</v>
      </c>
      <c r="R32" s="116"/>
      <c r="S32" s="116"/>
      <c r="T32" s="116"/>
      <c r="U32" s="116"/>
      <c r="V32" s="264"/>
      <c r="W32" s="264"/>
      <c r="X32" s="264"/>
      <c r="Y32" s="264"/>
      <c r="Z32" s="264"/>
      <c r="AA32" s="344">
        <f t="shared" si="13"/>
        <v>0</v>
      </c>
      <c r="AB32" s="262">
        <f>H32+M32+R32+W32</f>
        <v>0</v>
      </c>
      <c r="AC32" s="262">
        <f t="shared" si="21"/>
        <v>0</v>
      </c>
      <c r="AD32" s="262">
        <f t="shared" si="21"/>
        <v>0</v>
      </c>
      <c r="AE32" s="262">
        <f t="shared" si="21"/>
        <v>0</v>
      </c>
    </row>
    <row r="33" spans="1:31" s="263" customFormat="1" ht="63" customHeight="1">
      <c r="A33" s="413">
        <v>1</v>
      </c>
      <c r="B33" s="681" t="s">
        <v>513</v>
      </c>
      <c r="C33" s="681"/>
      <c r="D33" s="681"/>
      <c r="E33" s="681"/>
      <c r="F33" s="681"/>
      <c r="G33" s="117">
        <f>SUM(H33:K33)</f>
        <v>0</v>
      </c>
      <c r="H33" s="117">
        <f>H34</f>
        <v>0</v>
      </c>
      <c r="I33" s="117">
        <f t="shared" ref="I33:Z33" si="22">I34</f>
        <v>0</v>
      </c>
      <c r="J33" s="117">
        <f t="shared" si="22"/>
        <v>0</v>
      </c>
      <c r="K33" s="117">
        <f t="shared" si="22"/>
        <v>0</v>
      </c>
      <c r="L33" s="117">
        <f>SUM(M33:P33)</f>
        <v>0</v>
      </c>
      <c r="M33" s="117">
        <f t="shared" si="22"/>
        <v>0</v>
      </c>
      <c r="N33" s="117">
        <f t="shared" si="22"/>
        <v>0</v>
      </c>
      <c r="O33" s="117">
        <f t="shared" si="22"/>
        <v>0</v>
      </c>
      <c r="P33" s="117">
        <f t="shared" si="22"/>
        <v>0</v>
      </c>
      <c r="Q33" s="117">
        <f>SUM(R33:U33)</f>
        <v>160</v>
      </c>
      <c r="R33" s="117">
        <f t="shared" si="22"/>
        <v>40</v>
      </c>
      <c r="S33" s="117">
        <f t="shared" si="22"/>
        <v>40</v>
      </c>
      <c r="T33" s="117">
        <f t="shared" si="22"/>
        <v>40</v>
      </c>
      <c r="U33" s="117">
        <f t="shared" si="22"/>
        <v>40</v>
      </c>
      <c r="V33" s="117">
        <f>SUM(W33:Z33)</f>
        <v>0</v>
      </c>
      <c r="W33" s="117">
        <f t="shared" si="22"/>
        <v>0</v>
      </c>
      <c r="X33" s="117">
        <f t="shared" si="22"/>
        <v>0</v>
      </c>
      <c r="Y33" s="117">
        <f t="shared" si="22"/>
        <v>0</v>
      </c>
      <c r="Z33" s="117">
        <f t="shared" si="22"/>
        <v>0</v>
      </c>
      <c r="AA33" s="466">
        <f>SUM(AB33:AE33)</f>
        <v>160</v>
      </c>
      <c r="AB33" s="117">
        <f>SUM(H33,M33,R33,W33)</f>
        <v>40</v>
      </c>
      <c r="AC33" s="117">
        <f>SUM(I33,N33,S33,X33)</f>
        <v>40</v>
      </c>
      <c r="AD33" s="117">
        <f t="shared" ref="AD33:AE34" si="23">SUM(J33,O33,T33,Y33)</f>
        <v>40</v>
      </c>
      <c r="AE33" s="117">
        <f t="shared" si="23"/>
        <v>40</v>
      </c>
    </row>
    <row r="34" spans="1:31" s="263" customFormat="1" ht="34.5" customHeight="1">
      <c r="A34" s="151"/>
      <c r="B34" s="643" t="s">
        <v>461</v>
      </c>
      <c r="C34" s="644"/>
      <c r="D34" s="644"/>
      <c r="E34" s="644"/>
      <c r="F34" s="645"/>
      <c r="G34" s="116">
        <f>SUM(H34:K34)</f>
        <v>0</v>
      </c>
      <c r="H34" s="433"/>
      <c r="I34" s="433"/>
      <c r="J34" s="433"/>
      <c r="K34" s="433"/>
      <c r="L34" s="116">
        <f t="shared" ref="L34:L39" si="24">SUM(M34:P34)</f>
        <v>0</v>
      </c>
      <c r="M34" s="433"/>
      <c r="N34" s="433"/>
      <c r="O34" s="433"/>
      <c r="P34" s="433"/>
      <c r="Q34" s="116">
        <f t="shared" ref="Q34:Q39" si="25">SUM(R34:U34)</f>
        <v>160</v>
      </c>
      <c r="R34" s="116">
        <v>40</v>
      </c>
      <c r="S34" s="116">
        <v>40</v>
      </c>
      <c r="T34" s="116">
        <v>40</v>
      </c>
      <c r="U34" s="116">
        <v>40</v>
      </c>
      <c r="V34" s="116">
        <f t="shared" ref="V34:V39" si="26">SUM(W34:Z34)</f>
        <v>0</v>
      </c>
      <c r="W34" s="433"/>
      <c r="X34" s="433"/>
      <c r="Y34" s="433"/>
      <c r="Z34" s="433"/>
      <c r="AA34" s="264">
        <f t="shared" ref="AA34:AA39" si="27">SUM(AB34:AE34)</f>
        <v>160</v>
      </c>
      <c r="AB34" s="116">
        <f>SUM(H34,M34,R34,W34)</f>
        <v>40</v>
      </c>
      <c r="AC34" s="116">
        <f>SUM(I34,N34,S34,X34)</f>
        <v>40</v>
      </c>
      <c r="AD34" s="116">
        <f t="shared" si="23"/>
        <v>40</v>
      </c>
      <c r="AE34" s="116">
        <f t="shared" si="23"/>
        <v>40</v>
      </c>
    </row>
    <row r="35" spans="1:31" ht="34.5" hidden="1" customHeight="1">
      <c r="A35" s="239"/>
      <c r="B35" s="643" t="s">
        <v>545</v>
      </c>
      <c r="C35" s="644"/>
      <c r="D35" s="644"/>
      <c r="E35" s="644"/>
      <c r="F35" s="645"/>
      <c r="G35" s="117">
        <f t="shared" ref="G35:G38" si="28">SUM(H35:K35)</f>
        <v>0</v>
      </c>
      <c r="H35" s="425"/>
      <c r="I35" s="425"/>
      <c r="J35" s="425"/>
      <c r="K35" s="425"/>
      <c r="L35" s="117">
        <f t="shared" si="24"/>
        <v>0</v>
      </c>
      <c r="M35" s="116"/>
      <c r="N35" s="116"/>
      <c r="O35" s="116"/>
      <c r="P35" s="116"/>
      <c r="Q35" s="117">
        <f t="shared" si="25"/>
        <v>0</v>
      </c>
      <c r="R35" s="116"/>
      <c r="S35" s="116"/>
      <c r="T35" s="116"/>
      <c r="U35" s="116"/>
      <c r="V35" s="117">
        <f t="shared" si="26"/>
        <v>0</v>
      </c>
      <c r="W35" s="116"/>
      <c r="X35" s="116"/>
      <c r="Y35" s="116"/>
      <c r="Z35" s="116"/>
      <c r="AA35" s="466">
        <f t="shared" si="27"/>
        <v>0</v>
      </c>
      <c r="AB35" s="116">
        <f t="shared" ref="AB35:AB39" si="29">SUM(H35,M35,R35,W35)</f>
        <v>0</v>
      </c>
      <c r="AC35" s="264">
        <f t="shared" ref="AC35:AE38" si="30">I35+N35+S35+X35</f>
        <v>0</v>
      </c>
      <c r="AD35" s="264">
        <f t="shared" si="30"/>
        <v>0</v>
      </c>
      <c r="AE35" s="264">
        <f t="shared" si="30"/>
        <v>0</v>
      </c>
    </row>
    <row r="36" spans="1:31" ht="39" hidden="1" customHeight="1">
      <c r="A36" s="239"/>
      <c r="B36" s="692" t="s">
        <v>545</v>
      </c>
      <c r="C36" s="692"/>
      <c r="D36" s="692"/>
      <c r="E36" s="692"/>
      <c r="F36" s="692"/>
      <c r="G36" s="117">
        <f t="shared" si="28"/>
        <v>0</v>
      </c>
      <c r="H36" s="425"/>
      <c r="I36" s="425"/>
      <c r="J36" s="425"/>
      <c r="K36" s="425"/>
      <c r="L36" s="117">
        <f t="shared" si="24"/>
        <v>0</v>
      </c>
      <c r="M36" s="116"/>
      <c r="N36" s="116"/>
      <c r="O36" s="116"/>
      <c r="P36" s="116"/>
      <c r="Q36" s="117">
        <f t="shared" si="25"/>
        <v>0</v>
      </c>
      <c r="R36" s="116"/>
      <c r="S36" s="116"/>
      <c r="T36" s="116"/>
      <c r="U36" s="116"/>
      <c r="V36" s="117">
        <f t="shared" si="26"/>
        <v>0</v>
      </c>
      <c r="W36" s="116"/>
      <c r="X36" s="116"/>
      <c r="Y36" s="116"/>
      <c r="Z36" s="116"/>
      <c r="AA36" s="466">
        <f t="shared" si="27"/>
        <v>0</v>
      </c>
      <c r="AB36" s="116">
        <f t="shared" si="29"/>
        <v>0</v>
      </c>
      <c r="AC36" s="264"/>
      <c r="AD36" s="264"/>
      <c r="AE36" s="264">
        <f t="shared" si="30"/>
        <v>0</v>
      </c>
    </row>
    <row r="37" spans="1:31" ht="45.75" hidden="1" customHeight="1">
      <c r="A37" s="357">
        <v>3</v>
      </c>
      <c r="B37" s="693" t="s">
        <v>574</v>
      </c>
      <c r="C37" s="693"/>
      <c r="D37" s="693"/>
      <c r="E37" s="693"/>
      <c r="F37" s="693"/>
      <c r="G37" s="117">
        <f t="shared" si="28"/>
        <v>0</v>
      </c>
      <c r="H37" s="261"/>
      <c r="I37" s="261"/>
      <c r="J37" s="261"/>
      <c r="K37" s="261"/>
      <c r="L37" s="117">
        <f t="shared" si="24"/>
        <v>0</v>
      </c>
      <c r="M37" s="262"/>
      <c r="N37" s="262"/>
      <c r="O37" s="262"/>
      <c r="P37" s="262"/>
      <c r="Q37" s="117">
        <f t="shared" si="25"/>
        <v>0</v>
      </c>
      <c r="R37" s="262">
        <f t="shared" ref="R37:T37" si="31">R38</f>
        <v>0</v>
      </c>
      <c r="S37" s="262">
        <f t="shared" si="31"/>
        <v>0</v>
      </c>
      <c r="T37" s="262">
        <f t="shared" si="31"/>
        <v>0</v>
      </c>
      <c r="U37" s="262">
        <f>U38</f>
        <v>0</v>
      </c>
      <c r="V37" s="117">
        <f t="shared" si="26"/>
        <v>0</v>
      </c>
      <c r="W37" s="262"/>
      <c r="X37" s="262"/>
      <c r="Y37" s="262" t="s">
        <v>435</v>
      </c>
      <c r="Z37" s="262"/>
      <c r="AA37" s="466">
        <f t="shared" si="27"/>
        <v>0</v>
      </c>
      <c r="AB37" s="116">
        <f t="shared" si="29"/>
        <v>0</v>
      </c>
      <c r="AC37" s="344"/>
      <c r="AD37" s="344"/>
      <c r="AE37" s="344">
        <f t="shared" si="30"/>
        <v>0</v>
      </c>
    </row>
    <row r="38" spans="1:31" ht="31.5" hidden="1" customHeight="1">
      <c r="A38" s="239"/>
      <c r="B38" s="692" t="s">
        <v>648</v>
      </c>
      <c r="C38" s="692"/>
      <c r="D38" s="692"/>
      <c r="E38" s="692"/>
      <c r="F38" s="692"/>
      <c r="G38" s="117">
        <f t="shared" si="28"/>
        <v>0</v>
      </c>
      <c r="H38" s="425"/>
      <c r="I38" s="425"/>
      <c r="J38" s="425"/>
      <c r="K38" s="425"/>
      <c r="L38" s="117">
        <f t="shared" si="24"/>
        <v>0</v>
      </c>
      <c r="M38" s="116"/>
      <c r="N38" s="116"/>
      <c r="O38" s="116"/>
      <c r="P38" s="116"/>
      <c r="Q38" s="117">
        <f t="shared" si="25"/>
        <v>0</v>
      </c>
      <c r="R38" s="116"/>
      <c r="S38" s="116"/>
      <c r="T38" s="116"/>
      <c r="U38" s="116"/>
      <c r="V38" s="117">
        <f t="shared" si="26"/>
        <v>0</v>
      </c>
      <c r="W38" s="116"/>
      <c r="X38" s="116"/>
      <c r="Y38" s="116"/>
      <c r="Z38" s="116"/>
      <c r="AA38" s="466">
        <f t="shared" si="27"/>
        <v>0</v>
      </c>
      <c r="AB38" s="116">
        <f t="shared" si="29"/>
        <v>0</v>
      </c>
      <c r="AC38" s="264"/>
      <c r="AD38" s="264"/>
      <c r="AE38" s="264">
        <f t="shared" si="30"/>
        <v>0</v>
      </c>
    </row>
    <row r="39" spans="1:31" ht="39" customHeight="1">
      <c r="A39" s="674" t="s">
        <v>49</v>
      </c>
      <c r="B39" s="675"/>
      <c r="C39" s="675"/>
      <c r="D39" s="675"/>
      <c r="E39" s="675"/>
      <c r="F39" s="676"/>
      <c r="G39" s="117">
        <f>SUM(H39:K39)</f>
        <v>0</v>
      </c>
      <c r="H39" s="117">
        <f>H33</f>
        <v>0</v>
      </c>
      <c r="I39" s="117">
        <f t="shared" ref="I39:Z39" si="32">I33</f>
        <v>0</v>
      </c>
      <c r="J39" s="117">
        <f t="shared" si="32"/>
        <v>0</v>
      </c>
      <c r="K39" s="117">
        <f t="shared" si="32"/>
        <v>0</v>
      </c>
      <c r="L39" s="117">
        <f t="shared" si="24"/>
        <v>0</v>
      </c>
      <c r="M39" s="117">
        <f t="shared" si="32"/>
        <v>0</v>
      </c>
      <c r="N39" s="117">
        <f t="shared" si="32"/>
        <v>0</v>
      </c>
      <c r="O39" s="117">
        <f t="shared" si="32"/>
        <v>0</v>
      </c>
      <c r="P39" s="117">
        <f t="shared" si="32"/>
        <v>0</v>
      </c>
      <c r="Q39" s="117">
        <f t="shared" si="25"/>
        <v>160</v>
      </c>
      <c r="R39" s="117">
        <f t="shared" si="32"/>
        <v>40</v>
      </c>
      <c r="S39" s="117">
        <f t="shared" si="32"/>
        <v>40</v>
      </c>
      <c r="T39" s="117">
        <f t="shared" si="32"/>
        <v>40</v>
      </c>
      <c r="U39" s="117">
        <f t="shared" si="32"/>
        <v>40</v>
      </c>
      <c r="V39" s="117">
        <f t="shared" si="26"/>
        <v>0</v>
      </c>
      <c r="W39" s="117">
        <f t="shared" si="32"/>
        <v>0</v>
      </c>
      <c r="X39" s="117">
        <f t="shared" si="32"/>
        <v>0</v>
      </c>
      <c r="Y39" s="117">
        <f t="shared" si="32"/>
        <v>0</v>
      </c>
      <c r="Z39" s="117">
        <f t="shared" si="32"/>
        <v>0</v>
      </c>
      <c r="AA39" s="466">
        <f t="shared" si="27"/>
        <v>160</v>
      </c>
      <c r="AB39" s="117">
        <f t="shared" si="29"/>
        <v>40</v>
      </c>
      <c r="AC39" s="117">
        <f t="shared" ref="AC39" si="33">SUM(I39,N39,S39,X39)</f>
        <v>40</v>
      </c>
      <c r="AD39" s="117">
        <f t="shared" ref="AD39" si="34">SUM(J39,O39,T39,Y39)</f>
        <v>40</v>
      </c>
      <c r="AE39" s="117">
        <f t="shared" ref="AE39" si="35">SUM(K39,P39,U39,Z39)</f>
        <v>40</v>
      </c>
    </row>
    <row r="40" spans="1:31" ht="39" customHeight="1">
      <c r="A40" s="587" t="s">
        <v>50</v>
      </c>
      <c r="B40" s="471"/>
      <c r="C40" s="471"/>
      <c r="D40" s="471"/>
      <c r="E40" s="471"/>
      <c r="F40" s="588"/>
      <c r="G40" s="265">
        <f>G39/AA39*100</f>
        <v>0</v>
      </c>
      <c r="H40" s="265"/>
      <c r="I40" s="265"/>
      <c r="J40" s="265"/>
      <c r="K40" s="265"/>
      <c r="L40" s="265">
        <f>L39/AA39*100</f>
        <v>0</v>
      </c>
      <c r="M40" s="116"/>
      <c r="N40" s="116"/>
      <c r="O40" s="116"/>
      <c r="P40" s="116"/>
      <c r="Q40" s="425">
        <f>Q39/AA39*100</f>
        <v>100</v>
      </c>
      <c r="R40" s="116"/>
      <c r="S40" s="116"/>
      <c r="T40" s="116"/>
      <c r="U40" s="116"/>
      <c r="V40" s="425">
        <f>V39/AA39*100</f>
        <v>0</v>
      </c>
      <c r="W40" s="116"/>
      <c r="X40" s="116"/>
      <c r="Y40" s="116"/>
      <c r="Z40" s="116"/>
      <c r="AA40" s="425">
        <f>SUM(G40,L40,Q40,V40)</f>
        <v>100</v>
      </c>
      <c r="AB40" s="116"/>
      <c r="AC40" s="116"/>
      <c r="AD40" s="116"/>
      <c r="AE40" s="116"/>
    </row>
    <row r="41" spans="1:31" ht="23.25" customHeight="1">
      <c r="A41" s="428"/>
      <c r="B41" s="428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428"/>
      <c r="T41" s="428"/>
      <c r="U41" s="428"/>
      <c r="V41" s="428"/>
      <c r="W41" s="301"/>
      <c r="X41" s="428"/>
      <c r="Y41" s="428"/>
      <c r="Z41" s="428"/>
      <c r="AA41" s="428"/>
    </row>
    <row r="42" spans="1:31" s="297" customFormat="1" ht="26.25" customHeight="1">
      <c r="B42" s="297" t="s">
        <v>341</v>
      </c>
    </row>
    <row r="43" spans="1:31" s="401" customFormat="1" ht="27.75" customHeight="1">
      <c r="A43" s="6"/>
      <c r="B43" s="6"/>
      <c r="C43" s="6"/>
      <c r="D43" s="6"/>
      <c r="E43" s="6"/>
      <c r="F43" s="6"/>
      <c r="G43" s="6"/>
      <c r="H43" s="6"/>
      <c r="I43" s="6"/>
      <c r="K43" s="6"/>
      <c r="AE43" s="296" t="s">
        <v>314</v>
      </c>
    </row>
    <row r="44" spans="1:31" s="302" customFormat="1" ht="39" customHeight="1">
      <c r="A44" s="488" t="s">
        <v>46</v>
      </c>
      <c r="B44" s="488" t="s">
        <v>174</v>
      </c>
      <c r="C44" s="488" t="s">
        <v>577</v>
      </c>
      <c r="D44" s="488"/>
      <c r="E44" s="488" t="s">
        <v>139</v>
      </c>
      <c r="F44" s="488"/>
      <c r="G44" s="488" t="s">
        <v>643</v>
      </c>
      <c r="H44" s="488"/>
      <c r="I44" s="488" t="s">
        <v>642</v>
      </c>
      <c r="J44" s="488"/>
      <c r="K44" s="488" t="s">
        <v>667</v>
      </c>
      <c r="L44" s="488"/>
      <c r="M44" s="488"/>
      <c r="N44" s="488"/>
      <c r="O44" s="488"/>
      <c r="P44" s="488"/>
      <c r="Q44" s="488"/>
      <c r="R44" s="488"/>
      <c r="S44" s="488"/>
      <c r="T44" s="488"/>
      <c r="U44" s="488" t="s">
        <v>394</v>
      </c>
      <c r="V44" s="488"/>
      <c r="W44" s="488"/>
      <c r="X44" s="488"/>
      <c r="Y44" s="488"/>
      <c r="Z44" s="488" t="s">
        <v>275</v>
      </c>
      <c r="AA44" s="488"/>
      <c r="AB44" s="488"/>
      <c r="AC44" s="488"/>
      <c r="AD44" s="488"/>
      <c r="AE44" s="488"/>
    </row>
    <row r="45" spans="1:31" s="302" customFormat="1" ht="39" customHeight="1">
      <c r="A45" s="488"/>
      <c r="B45" s="488"/>
      <c r="C45" s="488"/>
      <c r="D45" s="488"/>
      <c r="E45" s="488"/>
      <c r="F45" s="488"/>
      <c r="G45" s="488"/>
      <c r="H45" s="488"/>
      <c r="I45" s="488"/>
      <c r="J45" s="488"/>
      <c r="K45" s="488" t="s">
        <v>190</v>
      </c>
      <c r="L45" s="488"/>
      <c r="M45" s="488" t="s">
        <v>191</v>
      </c>
      <c r="N45" s="488"/>
      <c r="O45" s="488" t="s">
        <v>180</v>
      </c>
      <c r="P45" s="488"/>
      <c r="Q45" s="488"/>
      <c r="R45" s="488"/>
      <c r="S45" s="488"/>
      <c r="T45" s="488"/>
      <c r="U45" s="488"/>
      <c r="V45" s="488"/>
      <c r="W45" s="488"/>
      <c r="X45" s="488"/>
      <c r="Y45" s="488"/>
      <c r="Z45" s="488"/>
      <c r="AA45" s="488"/>
      <c r="AB45" s="488"/>
      <c r="AC45" s="488"/>
      <c r="AD45" s="488"/>
      <c r="AE45" s="488"/>
    </row>
    <row r="46" spans="1:31" s="303" customFormat="1" ht="92.25" customHeight="1">
      <c r="A46" s="488"/>
      <c r="B46" s="488"/>
      <c r="C46" s="488"/>
      <c r="D46" s="488"/>
      <c r="E46" s="488"/>
      <c r="F46" s="488"/>
      <c r="G46" s="488"/>
      <c r="H46" s="488"/>
      <c r="I46" s="488"/>
      <c r="J46" s="488"/>
      <c r="K46" s="488"/>
      <c r="L46" s="488"/>
      <c r="M46" s="488"/>
      <c r="N46" s="488"/>
      <c r="O46" s="488" t="s">
        <v>171</v>
      </c>
      <c r="P46" s="488"/>
      <c r="Q46" s="488" t="s">
        <v>172</v>
      </c>
      <c r="R46" s="488"/>
      <c r="S46" s="488" t="s">
        <v>173</v>
      </c>
      <c r="T46" s="488"/>
      <c r="U46" s="488"/>
      <c r="V46" s="488"/>
      <c r="W46" s="488"/>
      <c r="X46" s="488"/>
      <c r="Y46" s="488"/>
      <c r="Z46" s="488"/>
      <c r="AA46" s="488"/>
      <c r="AB46" s="488"/>
      <c r="AC46" s="488"/>
      <c r="AD46" s="488"/>
      <c r="AE46" s="488"/>
    </row>
    <row r="47" spans="1:31" s="302" customFormat="1" ht="29.25" customHeight="1">
      <c r="A47" s="398">
        <v>1</v>
      </c>
      <c r="B47" s="397">
        <v>2</v>
      </c>
      <c r="C47" s="488">
        <v>3</v>
      </c>
      <c r="D47" s="488"/>
      <c r="E47" s="488">
        <v>4</v>
      </c>
      <c r="F47" s="488"/>
      <c r="G47" s="488">
        <v>5</v>
      </c>
      <c r="H47" s="488"/>
      <c r="I47" s="488">
        <v>6</v>
      </c>
      <c r="J47" s="488"/>
      <c r="K47" s="477">
        <v>7</v>
      </c>
      <c r="L47" s="479"/>
      <c r="M47" s="477">
        <v>8</v>
      </c>
      <c r="N47" s="479"/>
      <c r="O47" s="488">
        <v>9</v>
      </c>
      <c r="P47" s="488"/>
      <c r="Q47" s="490">
        <v>10</v>
      </c>
      <c r="R47" s="490"/>
      <c r="S47" s="488">
        <v>11</v>
      </c>
      <c r="T47" s="488"/>
      <c r="U47" s="488">
        <v>12</v>
      </c>
      <c r="V47" s="488"/>
      <c r="W47" s="488"/>
      <c r="X47" s="488"/>
      <c r="Y47" s="488"/>
      <c r="Z47" s="488">
        <v>13</v>
      </c>
      <c r="AA47" s="488"/>
      <c r="AB47" s="488"/>
      <c r="AC47" s="488"/>
      <c r="AD47" s="488"/>
      <c r="AE47" s="488"/>
    </row>
    <row r="48" spans="1:31" s="302" customFormat="1" ht="39" customHeight="1">
      <c r="A48" s="239"/>
      <c r="B48" s="304"/>
      <c r="C48" s="687"/>
      <c r="D48" s="687"/>
      <c r="E48" s="663"/>
      <c r="F48" s="663"/>
      <c r="G48" s="663"/>
      <c r="H48" s="663"/>
      <c r="I48" s="663"/>
      <c r="J48" s="663"/>
      <c r="K48" s="666"/>
      <c r="L48" s="667"/>
      <c r="M48" s="666">
        <f t="shared" ref="M48" si="36">SUM(O48,Q48,S48)</f>
        <v>0</v>
      </c>
      <c r="N48" s="667"/>
      <c r="O48" s="663"/>
      <c r="P48" s="663"/>
      <c r="Q48" s="663"/>
      <c r="R48" s="663"/>
      <c r="S48" s="663"/>
      <c r="T48" s="663"/>
      <c r="U48" s="692"/>
      <c r="V48" s="692"/>
      <c r="W48" s="692"/>
      <c r="X48" s="692"/>
      <c r="Y48" s="692"/>
      <c r="Z48" s="694"/>
      <c r="AA48" s="694"/>
      <c r="AB48" s="694"/>
      <c r="AC48" s="694"/>
      <c r="AD48" s="694"/>
      <c r="AE48" s="694"/>
    </row>
    <row r="49" spans="1:31" s="302" customFormat="1" ht="39" customHeight="1">
      <c r="A49" s="590" t="s">
        <v>49</v>
      </c>
      <c r="B49" s="591"/>
      <c r="C49" s="591"/>
      <c r="D49" s="592"/>
      <c r="E49" s="654">
        <f>SUM(E48:E48)</f>
        <v>0</v>
      </c>
      <c r="F49" s="654"/>
      <c r="G49" s="654">
        <f>SUM(G48:G48)</f>
        <v>0</v>
      </c>
      <c r="H49" s="654"/>
      <c r="I49" s="654">
        <f>SUM(I48:I48)</f>
        <v>0</v>
      </c>
      <c r="J49" s="654"/>
      <c r="K49" s="654">
        <f>SUM(K48:K48)</f>
        <v>0</v>
      </c>
      <c r="L49" s="654"/>
      <c r="M49" s="654">
        <f>SUM(M48:M48)</f>
        <v>0</v>
      </c>
      <c r="N49" s="654"/>
      <c r="O49" s="654">
        <f>SUM(O48:O48)</f>
        <v>0</v>
      </c>
      <c r="P49" s="654"/>
      <c r="Q49" s="654">
        <f>SUM(Q48:Q48)</f>
        <v>0</v>
      </c>
      <c r="R49" s="654"/>
      <c r="S49" s="654">
        <f>SUM(S48:S48)</f>
        <v>0</v>
      </c>
      <c r="T49" s="654"/>
      <c r="U49" s="659"/>
      <c r="V49" s="659"/>
      <c r="W49" s="659"/>
      <c r="X49" s="659"/>
      <c r="Y49" s="659"/>
      <c r="Z49" s="653"/>
      <c r="AA49" s="653"/>
      <c r="AB49" s="653"/>
      <c r="AC49" s="653"/>
      <c r="AD49" s="653"/>
      <c r="AE49" s="653"/>
    </row>
    <row r="50" spans="1:31" ht="30.75" customHeight="1">
      <c r="A50" s="5"/>
      <c r="B50" s="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</row>
    <row r="51" spans="1:31" s="305" customFormat="1" ht="30.75" customHeight="1">
      <c r="B51" s="650" t="s">
        <v>514</v>
      </c>
      <c r="C51" s="651"/>
      <c r="D51" s="651"/>
      <c r="E51" s="651"/>
      <c r="F51" s="651"/>
      <c r="G51" s="422"/>
      <c r="H51" s="422"/>
      <c r="I51" s="422"/>
      <c r="J51" s="422"/>
      <c r="K51" s="422"/>
      <c r="L51" s="652" t="s">
        <v>156</v>
      </c>
      <c r="M51" s="652"/>
      <c r="N51" s="652"/>
      <c r="O51" s="652"/>
      <c r="P51" s="652"/>
      <c r="Q51" s="100"/>
      <c r="R51" s="100"/>
      <c r="S51" s="100"/>
      <c r="T51" s="100"/>
      <c r="U51" s="100"/>
      <c r="V51" s="509" t="s">
        <v>546</v>
      </c>
      <c r="W51" s="509"/>
      <c r="X51" s="509"/>
      <c r="Y51" s="509"/>
      <c r="Z51" s="509"/>
    </row>
    <row r="52" spans="1:31" s="404" customFormat="1" ht="30" customHeight="1">
      <c r="B52" s="306"/>
      <c r="C52" s="404" t="s">
        <v>68</v>
      </c>
      <c r="E52" s="307"/>
      <c r="F52" s="307"/>
      <c r="G52" s="307"/>
      <c r="H52" s="307"/>
      <c r="I52" s="307"/>
      <c r="J52" s="307"/>
      <c r="K52" s="307"/>
      <c r="M52" s="306"/>
      <c r="N52" s="403" t="s">
        <v>69</v>
      </c>
      <c r="O52" s="306"/>
      <c r="Q52" s="307"/>
      <c r="R52" s="307"/>
      <c r="S52" s="307"/>
      <c r="V52" s="506" t="s">
        <v>96</v>
      </c>
      <c r="W52" s="506"/>
      <c r="X52" s="506"/>
      <c r="Y52" s="506"/>
      <c r="Z52" s="506"/>
    </row>
    <row r="53" spans="1:31" ht="39" customHeight="1">
      <c r="B53" s="308"/>
      <c r="C53" s="308"/>
      <c r="D53" s="308"/>
      <c r="E53" s="308"/>
      <c r="F53" s="308"/>
      <c r="G53" s="308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8"/>
      <c r="U53" s="308"/>
    </row>
    <row r="54" spans="1:31" ht="39" customHeight="1"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</row>
    <row r="55" spans="1:31" ht="39" customHeight="1"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</row>
    <row r="56" spans="1:31" s="635" customFormat="1" ht="39" customHeight="1">
      <c r="A56" s="634" t="s">
        <v>319</v>
      </c>
    </row>
    <row r="59" spans="1:31" ht="39" customHeight="1">
      <c r="B59" s="263"/>
    </row>
    <row r="60" spans="1:31" ht="39" customHeight="1">
      <c r="B60" s="263"/>
    </row>
    <row r="61" spans="1:31" ht="39" customHeight="1">
      <c r="B61" s="263"/>
    </row>
    <row r="62" spans="1:31" ht="39" customHeight="1">
      <c r="B62" s="263"/>
    </row>
    <row r="63" spans="1:31" ht="39" customHeight="1">
      <c r="B63" s="263"/>
    </row>
    <row r="64" spans="1:31" ht="39" customHeight="1">
      <c r="B64" s="263"/>
    </row>
    <row r="65" spans="2:2" ht="39" customHeight="1">
      <c r="B65" s="263"/>
    </row>
  </sheetData>
  <sheetProtection algorithmName="SHA-512" hashValue="8Ci2utZ97eOmtdMCCjK7y0pzf8KMpHOCnjT5Y2NWcCHIh5pdUvLrgiXMaN7X0GcXXY9uRKaHv1GuV4hBUql3sg==" saltValue="uFolGZmX0ot+zRW2DjSNJw==" spinCount="100000" sheet="1" objects="1" scenarios="1" selectLockedCells="1" selectUnlockedCells="1"/>
  <mergeCells count="158">
    <mergeCell ref="B30:F30"/>
    <mergeCell ref="B38:F38"/>
    <mergeCell ref="W13:Y13"/>
    <mergeCell ref="Z4:AB5"/>
    <mergeCell ref="AC4:AE5"/>
    <mergeCell ref="AC6:AE6"/>
    <mergeCell ref="Z8:AB8"/>
    <mergeCell ref="V8:Y8"/>
    <mergeCell ref="V20:Z20"/>
    <mergeCell ref="Q20:U20"/>
    <mergeCell ref="AA21:AA22"/>
    <mergeCell ref="R8:U8"/>
    <mergeCell ref="W14:Y14"/>
    <mergeCell ref="R7:U7"/>
    <mergeCell ref="W21:Z21"/>
    <mergeCell ref="AC8:AE8"/>
    <mergeCell ref="AC7:AE7"/>
    <mergeCell ref="Z7:AB7"/>
    <mergeCell ref="Z6:AB6"/>
    <mergeCell ref="R6:U6"/>
    <mergeCell ref="Z15:AB15"/>
    <mergeCell ref="W15:Y15"/>
    <mergeCell ref="G12:M13"/>
    <mergeCell ref="G20:K20"/>
    <mergeCell ref="G21:G22"/>
    <mergeCell ref="G7:M7"/>
    <mergeCell ref="C8:F8"/>
    <mergeCell ref="G8:M8"/>
    <mergeCell ref="G16:M16"/>
    <mergeCell ref="Q12:Y12"/>
    <mergeCell ref="Q21:Q22"/>
    <mergeCell ref="V21:V22"/>
    <mergeCell ref="Q14:S14"/>
    <mergeCell ref="N7:Q7"/>
    <mergeCell ref="R21:U21"/>
    <mergeCell ref="N12:P13"/>
    <mergeCell ref="T13:V13"/>
    <mergeCell ref="Q13:S13"/>
    <mergeCell ref="Z14:AB14"/>
    <mergeCell ref="Z12:AB13"/>
    <mergeCell ref="AA20:AE20"/>
    <mergeCell ref="AB21:AE21"/>
    <mergeCell ref="M21:P21"/>
    <mergeCell ref="G15:M15"/>
    <mergeCell ref="K45:L46"/>
    <mergeCell ref="M48:N48"/>
    <mergeCell ref="E48:F48"/>
    <mergeCell ref="B36:F36"/>
    <mergeCell ref="B37:F37"/>
    <mergeCell ref="B26:F26"/>
    <mergeCell ref="Z47:AE47"/>
    <mergeCell ref="Q48:R48"/>
    <mergeCell ref="M47:N47"/>
    <mergeCell ref="U44:Y46"/>
    <mergeCell ref="U47:Y47"/>
    <mergeCell ref="S48:T48"/>
    <mergeCell ref="Q46:R46"/>
    <mergeCell ref="Z48:AE48"/>
    <mergeCell ref="U48:Y48"/>
    <mergeCell ref="S46:T46"/>
    <mergeCell ref="Z44:AE46"/>
    <mergeCell ref="B12:B13"/>
    <mergeCell ref="O49:P49"/>
    <mergeCell ref="I49:J49"/>
    <mergeCell ref="G4:M5"/>
    <mergeCell ref="C7:F7"/>
    <mergeCell ref="G6:M6"/>
    <mergeCell ref="N5:Q5"/>
    <mergeCell ref="N4:Y4"/>
    <mergeCell ref="R5:U5"/>
    <mergeCell ref="V5:Y5"/>
    <mergeCell ref="V6:Y6"/>
    <mergeCell ref="N6:Q6"/>
    <mergeCell ref="Q49:R49"/>
    <mergeCell ref="L20:P20"/>
    <mergeCell ref="L21:L22"/>
    <mergeCell ref="K49:L49"/>
    <mergeCell ref="G48:H48"/>
    <mergeCell ref="E47:F47"/>
    <mergeCell ref="C47:D47"/>
    <mergeCell ref="I47:J47"/>
    <mergeCell ref="B31:F31"/>
    <mergeCell ref="G49:H49"/>
    <mergeCell ref="C48:D48"/>
    <mergeCell ref="B20:F22"/>
    <mergeCell ref="V7:Y7"/>
    <mergeCell ref="A4:A5"/>
    <mergeCell ref="B4:B5"/>
    <mergeCell ref="C4:F5"/>
    <mergeCell ref="A44:A46"/>
    <mergeCell ref="B44:B46"/>
    <mergeCell ref="C44:D46"/>
    <mergeCell ref="A39:F39"/>
    <mergeCell ref="A40:F40"/>
    <mergeCell ref="E44:F46"/>
    <mergeCell ref="A12:A13"/>
    <mergeCell ref="C6:F6"/>
    <mergeCell ref="A20:A22"/>
    <mergeCell ref="C16:F16"/>
    <mergeCell ref="A16:B16"/>
    <mergeCell ref="A8:B8"/>
    <mergeCell ref="B35:F35"/>
    <mergeCell ref="B33:F33"/>
    <mergeCell ref="B27:F27"/>
    <mergeCell ref="B24:F24"/>
    <mergeCell ref="B23:F23"/>
    <mergeCell ref="B25:F25"/>
    <mergeCell ref="B32:F32"/>
    <mergeCell ref="B34:F34"/>
    <mergeCell ref="B29:F29"/>
    <mergeCell ref="AB1:AE1"/>
    <mergeCell ref="S49:T49"/>
    <mergeCell ref="U49:Y49"/>
    <mergeCell ref="K44:T44"/>
    <mergeCell ref="N8:Q8"/>
    <mergeCell ref="I48:J48"/>
    <mergeCell ref="H21:K21"/>
    <mergeCell ref="I44:J46"/>
    <mergeCell ref="AD3:AE3"/>
    <mergeCell ref="O45:T45"/>
    <mergeCell ref="S47:T47"/>
    <mergeCell ref="T16:V16"/>
    <mergeCell ref="Q16:S16"/>
    <mergeCell ref="N16:P16"/>
    <mergeCell ref="Z16:AB16"/>
    <mergeCell ref="W16:Y16"/>
    <mergeCell ref="O47:P47"/>
    <mergeCell ref="G44:H46"/>
    <mergeCell ref="K47:L47"/>
    <mergeCell ref="K48:L48"/>
    <mergeCell ref="G47:H47"/>
    <mergeCell ref="Q47:R47"/>
    <mergeCell ref="O48:P48"/>
    <mergeCell ref="O46:P46"/>
    <mergeCell ref="A56:XFD56"/>
    <mergeCell ref="AC16:AE16"/>
    <mergeCell ref="AC12:AE13"/>
    <mergeCell ref="AC14:AE14"/>
    <mergeCell ref="AC15:AE15"/>
    <mergeCell ref="C12:F13"/>
    <mergeCell ref="C14:F14"/>
    <mergeCell ref="N15:P15"/>
    <mergeCell ref="C15:F15"/>
    <mergeCell ref="T14:V14"/>
    <mergeCell ref="Q15:S15"/>
    <mergeCell ref="G14:M14"/>
    <mergeCell ref="N14:P14"/>
    <mergeCell ref="T15:V15"/>
    <mergeCell ref="V52:Z52"/>
    <mergeCell ref="B51:F51"/>
    <mergeCell ref="L51:P51"/>
    <mergeCell ref="V51:Z51"/>
    <mergeCell ref="Z49:AE49"/>
    <mergeCell ref="A49:D49"/>
    <mergeCell ref="M45:N46"/>
    <mergeCell ref="E49:F49"/>
    <mergeCell ref="B28:F28"/>
    <mergeCell ref="M49:N49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34" orientation="landscape" r:id="rId1"/>
  <headerFooter alignWithMargins="0"/>
  <ignoredErrors>
    <ignoredError sqref="N8 R8:Y8 E49:T49" formulaRange="1"/>
    <ignoredError sqref="AB40:AE40 AA7:AB7 AA8:AB8 AD7:AE7 AD8:AE8 M40:P40 R40:U40 W40:Z40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5"/>
  <sheetViews>
    <sheetView view="pageBreakPreview" zoomScale="60" zoomScaleNormal="75" workbookViewId="0">
      <selection sqref="A1:XFD1048576"/>
    </sheetView>
  </sheetViews>
  <sheetFormatPr defaultColWidth="9.109375" defaultRowHeight="18"/>
  <cols>
    <col min="1" max="1" width="55.33203125" style="2" customWidth="1"/>
    <col min="2" max="2" width="18" style="2" customWidth="1"/>
    <col min="3" max="6" width="20.6640625" style="2" customWidth="1"/>
    <col min="7" max="10" width="17.6640625" style="2" customWidth="1"/>
    <col min="11" max="16384" width="9.109375" style="2"/>
  </cols>
  <sheetData>
    <row r="1" spans="1:12">
      <c r="H1" s="709"/>
      <c r="I1" s="709"/>
      <c r="J1" s="709"/>
    </row>
    <row r="2" spans="1:12">
      <c r="I2" s="710" t="s">
        <v>344</v>
      </c>
      <c r="J2" s="710"/>
    </row>
    <row r="3" spans="1:12" ht="20.399999999999999">
      <c r="A3" s="707" t="s">
        <v>388</v>
      </c>
      <c r="B3" s="707"/>
      <c r="C3" s="707"/>
      <c r="D3" s="707"/>
      <c r="E3" s="707"/>
      <c r="F3" s="707"/>
      <c r="G3" s="707"/>
      <c r="H3" s="707"/>
      <c r="I3" s="707"/>
      <c r="J3" s="707"/>
    </row>
    <row r="4" spans="1:12">
      <c r="A4" s="708" t="s">
        <v>395</v>
      </c>
      <c r="B4" s="708"/>
      <c r="C4" s="708"/>
      <c r="D4" s="708"/>
      <c r="E4" s="708"/>
      <c r="F4" s="708"/>
      <c r="G4" s="708"/>
      <c r="H4" s="708"/>
      <c r="I4" s="708"/>
      <c r="J4" s="708"/>
    </row>
    <row r="5" spans="1:12" ht="32.25" customHeight="1">
      <c r="A5" s="490" t="s">
        <v>163</v>
      </c>
      <c r="B5" s="483" t="s">
        <v>17</v>
      </c>
      <c r="C5" s="483" t="s">
        <v>668</v>
      </c>
      <c r="D5" s="483" t="s">
        <v>669</v>
      </c>
      <c r="E5" s="481" t="s">
        <v>670</v>
      </c>
      <c r="F5" s="488" t="s">
        <v>653</v>
      </c>
      <c r="G5" s="488" t="s">
        <v>324</v>
      </c>
      <c r="H5" s="488"/>
      <c r="I5" s="488"/>
      <c r="J5" s="488"/>
    </row>
    <row r="6" spans="1:12" ht="128.25" customHeight="1">
      <c r="A6" s="490"/>
      <c r="B6" s="484"/>
      <c r="C6" s="484"/>
      <c r="D6" s="484"/>
      <c r="E6" s="482"/>
      <c r="F6" s="488"/>
      <c r="G6" s="408" t="s">
        <v>125</v>
      </c>
      <c r="H6" s="408" t="s">
        <v>126</v>
      </c>
      <c r="I6" s="408" t="s">
        <v>127</v>
      </c>
      <c r="J6" s="408" t="s">
        <v>63</v>
      </c>
    </row>
    <row r="7" spans="1:12" ht="31.5" customHeight="1">
      <c r="A7" s="315">
        <v>1</v>
      </c>
      <c r="B7" s="412">
        <v>2</v>
      </c>
      <c r="C7" s="412">
        <v>3</v>
      </c>
      <c r="D7" s="412">
        <v>4</v>
      </c>
      <c r="E7" s="412">
        <v>5</v>
      </c>
      <c r="F7" s="412">
        <v>6</v>
      </c>
      <c r="G7" s="412">
        <v>7</v>
      </c>
      <c r="H7" s="412">
        <v>8</v>
      </c>
      <c r="I7" s="412">
        <v>9</v>
      </c>
      <c r="J7" s="412">
        <v>10</v>
      </c>
    </row>
    <row r="8" spans="1:12" ht="38.25" customHeight="1">
      <c r="A8" s="711" t="s">
        <v>389</v>
      </c>
      <c r="B8" s="712"/>
      <c r="C8" s="712"/>
      <c r="D8" s="712"/>
      <c r="E8" s="712"/>
      <c r="F8" s="712"/>
      <c r="G8" s="712"/>
      <c r="H8" s="712"/>
      <c r="I8" s="712"/>
      <c r="J8" s="713"/>
    </row>
    <row r="9" spans="1:12" ht="53.25" customHeight="1">
      <c r="A9" s="147" t="s">
        <v>326</v>
      </c>
      <c r="B9" s="267">
        <v>6000</v>
      </c>
      <c r="C9" s="117">
        <f>SUM(C11:C12)</f>
        <v>0</v>
      </c>
      <c r="D9" s="117">
        <f t="shared" ref="D9:J9" si="0">SUM(D11:D12)</f>
        <v>4510</v>
      </c>
      <c r="E9" s="117">
        <f t="shared" si="0"/>
        <v>4510</v>
      </c>
      <c r="F9" s="117">
        <f>SUM(G9:J9)</f>
        <v>0</v>
      </c>
      <c r="G9" s="117">
        <f t="shared" si="0"/>
        <v>0</v>
      </c>
      <c r="H9" s="117">
        <f t="shared" si="0"/>
        <v>0</v>
      </c>
      <c r="I9" s="117">
        <f t="shared" si="0"/>
        <v>0</v>
      </c>
      <c r="J9" s="117">
        <f t="shared" si="0"/>
        <v>0</v>
      </c>
    </row>
    <row r="10" spans="1:12" ht="38.25" customHeight="1">
      <c r="A10" s="695" t="s">
        <v>328</v>
      </c>
      <c r="B10" s="696"/>
      <c r="C10" s="696"/>
      <c r="D10" s="696"/>
      <c r="E10" s="696"/>
      <c r="F10" s="696"/>
      <c r="G10" s="696"/>
      <c r="H10" s="696"/>
      <c r="I10" s="696"/>
      <c r="J10" s="697"/>
    </row>
    <row r="11" spans="1:12" ht="70.5" customHeight="1">
      <c r="A11" s="420" t="s">
        <v>329</v>
      </c>
      <c r="B11" s="317">
        <v>6010</v>
      </c>
      <c r="C11" s="116">
        <f>'Розшифровка статутний'!C8</f>
        <v>0</v>
      </c>
      <c r="D11" s="116">
        <f>'Розшифровка статутний'!D8</f>
        <v>4510</v>
      </c>
      <c r="E11" s="116">
        <f>'Розшифровка статутний'!E8</f>
        <v>4510</v>
      </c>
      <c r="F11" s="116">
        <f>SUM(G11:J11)</f>
        <v>0</v>
      </c>
      <c r="G11" s="116">
        <f>'Розшифровка статутний'!G8</f>
        <v>0</v>
      </c>
      <c r="H11" s="116">
        <f>'Розшифровка статутний'!H8</f>
        <v>0</v>
      </c>
      <c r="I11" s="116">
        <f>'Розшифровка статутний'!I8</f>
        <v>0</v>
      </c>
      <c r="J11" s="116">
        <f>'Розшифровка статутний'!J8</f>
        <v>0</v>
      </c>
    </row>
    <row r="12" spans="1:12" ht="51" customHeight="1">
      <c r="A12" s="420" t="s">
        <v>327</v>
      </c>
      <c r="B12" s="268">
        <v>6020</v>
      </c>
      <c r="C12" s="116"/>
      <c r="D12" s="116"/>
      <c r="E12" s="116"/>
      <c r="F12" s="116">
        <f>SUM(G12:J12)</f>
        <v>0</v>
      </c>
      <c r="G12" s="116"/>
      <c r="H12" s="116"/>
      <c r="I12" s="116"/>
      <c r="J12" s="116"/>
    </row>
    <row r="13" spans="1:12" ht="43.5" customHeight="1">
      <c r="A13" s="1"/>
      <c r="B13" s="1"/>
      <c r="C13" s="1"/>
      <c r="D13" s="1"/>
      <c r="E13" s="1"/>
      <c r="F13" s="310"/>
      <c r="G13" s="310"/>
      <c r="H13" s="310"/>
      <c r="I13" s="310"/>
      <c r="J13" s="310"/>
    </row>
    <row r="14" spans="1:12" s="320" customFormat="1" ht="28.5" customHeight="1">
      <c r="A14" s="421" t="s">
        <v>479</v>
      </c>
      <c r="B14" s="318"/>
      <c r="C14" s="705" t="s">
        <v>84</v>
      </c>
      <c r="D14" s="706"/>
      <c r="E14" s="706"/>
      <c r="F14" s="706"/>
      <c r="G14" s="319"/>
      <c r="H14" s="509" t="s">
        <v>546</v>
      </c>
      <c r="I14" s="509"/>
      <c r="J14" s="509"/>
      <c r="K14" s="311"/>
      <c r="L14" s="311"/>
    </row>
    <row r="15" spans="1:12" s="313" customFormat="1" ht="37.5" customHeight="1">
      <c r="A15" s="409" t="s">
        <v>68</v>
      </c>
      <c r="B15" s="102"/>
      <c r="C15" s="529" t="s">
        <v>69</v>
      </c>
      <c r="D15" s="529"/>
      <c r="E15" s="529"/>
      <c r="F15" s="529"/>
      <c r="G15" s="312"/>
      <c r="H15" s="530" t="s">
        <v>82</v>
      </c>
      <c r="I15" s="530"/>
      <c r="J15" s="530"/>
    </row>
  </sheetData>
  <sheetProtection algorithmName="SHA-512" hashValue="45LQI2DclCox4wmtrm/0I7ubBYAzaHMqPPR2Gg6+XfxgBbloW/UN3g1OW5gPKdUpdELlPY3VVNo/o+fP+r9Y0w==" saltValue="yh5L6llZW4oWHNxm0tr92A==" spinCount="100000" sheet="1" objects="1" scenarios="1" selectLockedCells="1" selectUnlockedCells="1"/>
  <mergeCells count="17">
    <mergeCell ref="H1:J1"/>
    <mergeCell ref="I2:J2"/>
    <mergeCell ref="A8:J8"/>
    <mergeCell ref="A10:J10"/>
    <mergeCell ref="C15:F15"/>
    <mergeCell ref="H15:J15"/>
    <mergeCell ref="C14:F14"/>
    <mergeCell ref="A3:J3"/>
    <mergeCell ref="A4:J4"/>
    <mergeCell ref="G5:J5"/>
    <mergeCell ref="A5:A6"/>
    <mergeCell ref="B5:B6"/>
    <mergeCell ref="C5:C6"/>
    <mergeCell ref="D5:D6"/>
    <mergeCell ref="E5:E6"/>
    <mergeCell ref="F5:F6"/>
    <mergeCell ref="H14:J14"/>
  </mergeCells>
  <pageMargins left="0.59055118110236227" right="0.59055118110236227" top="0.98425196850393704" bottom="0.59055118110236227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42"/>
  <sheetViews>
    <sheetView view="pageBreakPreview" topLeftCell="A7" zoomScale="89" zoomScaleNormal="100" zoomScaleSheetLayoutView="89" workbookViewId="0">
      <selection activeCell="A4" sqref="A1:XFD1048576"/>
    </sheetView>
  </sheetViews>
  <sheetFormatPr defaultColWidth="9.109375" defaultRowHeight="18"/>
  <cols>
    <col min="1" max="1" width="49.33203125" style="1" customWidth="1"/>
    <col min="2" max="2" width="14.6640625" style="403" customWidth="1"/>
    <col min="3" max="3" width="16.109375" style="403" customWidth="1"/>
    <col min="4" max="4" width="16.6640625" style="403" customWidth="1"/>
    <col min="5" max="5" width="16.109375" style="403" customWidth="1"/>
    <col min="6" max="6" width="16" style="403" customWidth="1"/>
    <col min="7" max="10" width="15.44140625" style="1" customWidth="1"/>
    <col min="11" max="16384" width="9.109375" style="1"/>
  </cols>
  <sheetData>
    <row r="2" spans="1:10" ht="33.75" customHeight="1">
      <c r="A2" s="535" t="s">
        <v>404</v>
      </c>
      <c r="B2" s="535"/>
      <c r="C2" s="535"/>
      <c r="D2" s="535"/>
      <c r="E2" s="535"/>
      <c r="F2" s="535"/>
      <c r="G2" s="535"/>
      <c r="H2" s="535"/>
    </row>
    <row r="3" spans="1:10" ht="28.5" customHeight="1">
      <c r="A3" s="411"/>
      <c r="B3" s="7"/>
      <c r="C3" s="411"/>
      <c r="D3" s="411"/>
      <c r="E3" s="411"/>
      <c r="F3" s="7"/>
      <c r="G3" s="411"/>
      <c r="H3" s="411"/>
      <c r="J3" s="1" t="s">
        <v>395</v>
      </c>
    </row>
    <row r="4" spans="1:10" ht="41.25" customHeight="1">
      <c r="A4" s="536" t="s">
        <v>163</v>
      </c>
      <c r="B4" s="538" t="s">
        <v>17</v>
      </c>
      <c r="C4" s="538" t="s">
        <v>650</v>
      </c>
      <c r="D4" s="538" t="s">
        <v>651</v>
      </c>
      <c r="E4" s="548" t="s">
        <v>652</v>
      </c>
      <c r="F4" s="540" t="s">
        <v>653</v>
      </c>
      <c r="G4" s="714" t="s">
        <v>324</v>
      </c>
      <c r="H4" s="715"/>
      <c r="I4" s="715"/>
      <c r="J4" s="716"/>
    </row>
    <row r="5" spans="1:10" ht="59.25" customHeight="1">
      <c r="A5" s="537"/>
      <c r="B5" s="539"/>
      <c r="C5" s="539"/>
      <c r="D5" s="539"/>
      <c r="E5" s="549"/>
      <c r="F5" s="540"/>
      <c r="G5" s="408" t="s">
        <v>125</v>
      </c>
      <c r="H5" s="408" t="s">
        <v>126</v>
      </c>
      <c r="I5" s="408" t="s">
        <v>127</v>
      </c>
      <c r="J5" s="408" t="s">
        <v>63</v>
      </c>
    </row>
    <row r="6" spans="1:10" ht="23.25" customHeight="1">
      <c r="A6" s="315">
        <v>1</v>
      </c>
      <c r="B6" s="412">
        <v>2</v>
      </c>
      <c r="C6" s="412">
        <v>3</v>
      </c>
      <c r="D6" s="412">
        <v>4</v>
      </c>
      <c r="E6" s="412">
        <v>5</v>
      </c>
      <c r="F6" s="412">
        <v>6</v>
      </c>
      <c r="G6" s="412">
        <v>7</v>
      </c>
      <c r="H6" s="412">
        <v>8</v>
      </c>
      <c r="I6" s="315">
        <v>9</v>
      </c>
      <c r="J6" s="315">
        <v>10</v>
      </c>
    </row>
    <row r="7" spans="1:10" ht="68.25" customHeight="1">
      <c r="A7" s="171" t="s">
        <v>405</v>
      </c>
      <c r="B7" s="225">
        <v>6000</v>
      </c>
      <c r="C7" s="111">
        <f>C8</f>
        <v>0</v>
      </c>
      <c r="D7" s="111">
        <f t="shared" ref="D7:J7" si="0">D8</f>
        <v>4510</v>
      </c>
      <c r="E7" s="111">
        <f t="shared" si="0"/>
        <v>4510</v>
      </c>
      <c r="F7" s="111">
        <f>SUM(G7:J7)</f>
        <v>0</v>
      </c>
      <c r="G7" s="111">
        <f t="shared" si="0"/>
        <v>0</v>
      </c>
      <c r="H7" s="111">
        <f t="shared" si="0"/>
        <v>0</v>
      </c>
      <c r="I7" s="111">
        <f t="shared" si="0"/>
        <v>0</v>
      </c>
      <c r="J7" s="111">
        <f t="shared" si="0"/>
        <v>0</v>
      </c>
    </row>
    <row r="8" spans="1:10" ht="48.75" customHeight="1">
      <c r="A8" s="173" t="s">
        <v>406</v>
      </c>
      <c r="B8" s="225">
        <v>6010</v>
      </c>
      <c r="C8" s="111">
        <f>SUM(C9:C15)</f>
        <v>0</v>
      </c>
      <c r="D8" s="111">
        <f>SUM(D9:D15)</f>
        <v>4510</v>
      </c>
      <c r="E8" s="111">
        <f t="shared" ref="E8:J8" si="1">SUM(E9:E15)</f>
        <v>4510</v>
      </c>
      <c r="F8" s="111">
        <f t="shared" ref="F8:F15" si="2">SUM(G8:J8)</f>
        <v>0</v>
      </c>
      <c r="G8" s="111">
        <f t="shared" si="1"/>
        <v>0</v>
      </c>
      <c r="H8" s="111">
        <f t="shared" si="1"/>
        <v>0</v>
      </c>
      <c r="I8" s="111">
        <f t="shared" si="1"/>
        <v>0</v>
      </c>
      <c r="J8" s="111">
        <f t="shared" si="1"/>
        <v>0</v>
      </c>
    </row>
    <row r="9" spans="1:10" ht="33.75" hidden="1" customHeight="1">
      <c r="A9" s="260" t="s">
        <v>515</v>
      </c>
      <c r="B9" s="412"/>
      <c r="C9" s="169"/>
      <c r="D9" s="185"/>
      <c r="E9" s="185">
        <f t="shared" ref="E9" si="3">D9</f>
        <v>0</v>
      </c>
      <c r="F9" s="111">
        <f t="shared" si="2"/>
        <v>0</v>
      </c>
      <c r="G9" s="185"/>
      <c r="H9" s="185"/>
      <c r="I9" s="186"/>
      <c r="J9" s="186"/>
    </row>
    <row r="10" spans="1:10" ht="30.75" hidden="1" customHeight="1">
      <c r="A10" s="260" t="s">
        <v>434</v>
      </c>
      <c r="B10" s="412"/>
      <c r="C10" s="169"/>
      <c r="D10" s="185"/>
      <c r="E10" s="185"/>
      <c r="F10" s="111">
        <f t="shared" si="2"/>
        <v>0</v>
      </c>
      <c r="G10" s="185"/>
      <c r="H10" s="185"/>
      <c r="I10" s="186"/>
      <c r="J10" s="186"/>
    </row>
    <row r="11" spans="1:10" ht="30.75" hidden="1" customHeight="1">
      <c r="A11" s="260" t="s">
        <v>424</v>
      </c>
      <c r="B11" s="412"/>
      <c r="C11" s="169"/>
      <c r="D11" s="185"/>
      <c r="E11" s="185"/>
      <c r="F11" s="111">
        <f t="shared" si="2"/>
        <v>0</v>
      </c>
      <c r="G11" s="185"/>
      <c r="H11" s="185"/>
      <c r="I11" s="186"/>
      <c r="J11" s="186"/>
    </row>
    <row r="12" spans="1:10" ht="30.75" hidden="1" customHeight="1">
      <c r="A12" s="260" t="s">
        <v>423</v>
      </c>
      <c r="B12" s="412"/>
      <c r="C12" s="169"/>
      <c r="D12" s="185"/>
      <c r="E12" s="185"/>
      <c r="F12" s="111">
        <f t="shared" si="2"/>
        <v>0</v>
      </c>
      <c r="G12" s="185"/>
      <c r="H12" s="185"/>
      <c r="I12" s="186"/>
      <c r="J12" s="186"/>
    </row>
    <row r="13" spans="1:10" ht="36" hidden="1" customHeight="1">
      <c r="A13" s="348" t="s">
        <v>560</v>
      </c>
      <c r="B13" s="349"/>
      <c r="C13" s="350"/>
      <c r="D13" s="350"/>
      <c r="E13" s="350"/>
      <c r="F13" s="111">
        <f t="shared" si="2"/>
        <v>0</v>
      </c>
      <c r="G13" s="350"/>
      <c r="H13" s="350"/>
      <c r="I13" s="351"/>
      <c r="J13" s="186"/>
    </row>
    <row r="14" spans="1:10" ht="36" customHeight="1">
      <c r="A14" s="467" t="s">
        <v>645</v>
      </c>
      <c r="B14" s="349"/>
      <c r="C14" s="350"/>
      <c r="D14" s="350">
        <v>3840</v>
      </c>
      <c r="E14" s="350">
        <v>3840</v>
      </c>
      <c r="F14" s="111">
        <f t="shared" si="2"/>
        <v>0</v>
      </c>
      <c r="G14" s="350"/>
      <c r="H14" s="350"/>
      <c r="I14" s="351"/>
      <c r="J14" s="186"/>
    </row>
    <row r="15" spans="1:10" ht="36" customHeight="1">
      <c r="A15" s="467" t="s">
        <v>701</v>
      </c>
      <c r="B15" s="349"/>
      <c r="C15" s="350"/>
      <c r="D15" s="350">
        <v>670</v>
      </c>
      <c r="E15" s="350">
        <v>670</v>
      </c>
      <c r="F15" s="111">
        <f t="shared" si="2"/>
        <v>0</v>
      </c>
      <c r="G15" s="350"/>
      <c r="H15" s="350"/>
      <c r="I15" s="351"/>
      <c r="J15" s="186"/>
    </row>
    <row r="16" spans="1:10" ht="57" customHeight="1">
      <c r="A16" s="9"/>
      <c r="C16" s="3"/>
      <c r="D16" s="8"/>
      <c r="E16" s="8"/>
      <c r="F16" s="8"/>
      <c r="G16" s="8"/>
      <c r="H16" s="8"/>
    </row>
    <row r="17" spans="1:10" s="97" customFormat="1" ht="26.25" customHeight="1">
      <c r="A17" s="180" t="s">
        <v>479</v>
      </c>
      <c r="B17" s="181"/>
      <c r="C17" s="533" t="s">
        <v>84</v>
      </c>
      <c r="D17" s="533"/>
      <c r="E17" s="533"/>
      <c r="F17" s="182"/>
      <c r="G17" s="528" t="s">
        <v>546</v>
      </c>
      <c r="H17" s="528"/>
      <c r="I17" s="528"/>
      <c r="J17" s="528"/>
    </row>
    <row r="18" spans="1:10" s="102" customFormat="1" ht="15.6">
      <c r="A18" s="409" t="s">
        <v>360</v>
      </c>
      <c r="C18" s="529" t="s">
        <v>397</v>
      </c>
      <c r="D18" s="529"/>
      <c r="E18" s="529"/>
      <c r="G18" s="718" t="s">
        <v>82</v>
      </c>
      <c r="H18" s="718"/>
      <c r="I18" s="718"/>
      <c r="J18" s="718"/>
    </row>
    <row r="19" spans="1:10">
      <c r="A19" s="9"/>
      <c r="C19" s="3"/>
      <c r="D19" s="8"/>
      <c r="E19" s="8"/>
      <c r="F19" s="8" t="s">
        <v>435</v>
      </c>
      <c r="G19" s="8"/>
      <c r="H19" s="8"/>
    </row>
    <row r="20" spans="1:10">
      <c r="A20" s="9"/>
      <c r="C20" s="3"/>
      <c r="D20" s="8"/>
      <c r="E20" s="8"/>
      <c r="F20" s="8"/>
      <c r="G20" s="8"/>
      <c r="H20" s="8"/>
    </row>
    <row r="21" spans="1:10">
      <c r="A21" s="9"/>
      <c r="C21" s="3"/>
      <c r="D21" s="8"/>
      <c r="E21" s="8"/>
      <c r="F21" s="8"/>
      <c r="G21" s="8"/>
      <c r="H21" s="8"/>
    </row>
    <row r="22" spans="1:10">
      <c r="A22" s="9"/>
      <c r="C22" s="3"/>
      <c r="D22" s="8"/>
      <c r="E22" s="8"/>
      <c r="F22" s="8"/>
      <c r="G22" s="8"/>
      <c r="H22" s="8"/>
    </row>
    <row r="23" spans="1:10">
      <c r="A23" s="9"/>
      <c r="C23" s="3"/>
      <c r="D23" s="8"/>
      <c r="E23" s="8"/>
      <c r="F23" s="8"/>
      <c r="G23" s="8"/>
      <c r="H23" s="8"/>
    </row>
    <row r="24" spans="1:10" ht="25.5" customHeight="1">
      <c r="A24" s="9"/>
      <c r="C24" s="3"/>
      <c r="D24" s="8"/>
      <c r="E24" s="8"/>
      <c r="F24" s="8"/>
      <c r="G24" s="8"/>
      <c r="H24" s="8"/>
    </row>
    <row r="25" spans="1:10" s="98" customFormat="1" ht="37.5" customHeight="1">
      <c r="A25" s="717" t="s">
        <v>699</v>
      </c>
      <c r="B25" s="717"/>
      <c r="C25" s="345"/>
      <c r="D25" s="346"/>
      <c r="E25" s="346"/>
      <c r="F25" s="346"/>
      <c r="G25" s="346"/>
      <c r="H25" s="533" t="s">
        <v>580</v>
      </c>
      <c r="I25" s="533"/>
      <c r="J25" s="347"/>
    </row>
    <row r="26" spans="1:10">
      <c r="A26" s="9"/>
      <c r="C26" s="3"/>
      <c r="D26" s="8"/>
      <c r="E26" s="8"/>
      <c r="F26" s="8"/>
      <c r="G26" s="8"/>
      <c r="H26" s="8"/>
    </row>
    <row r="27" spans="1:10">
      <c r="A27" s="9"/>
      <c r="C27" s="3"/>
      <c r="D27" s="8"/>
      <c r="E27" s="8"/>
      <c r="F27" s="8"/>
      <c r="G27" s="8"/>
      <c r="H27" s="8"/>
    </row>
    <row r="28" spans="1:10">
      <c r="A28" s="9"/>
      <c r="C28" s="3"/>
      <c r="D28" s="8"/>
      <c r="E28" s="8"/>
      <c r="F28" s="8"/>
      <c r="G28" s="8"/>
      <c r="H28" s="8"/>
    </row>
    <row r="29" spans="1:10">
      <c r="A29" s="9"/>
      <c r="C29" s="3"/>
      <c r="D29" s="8"/>
      <c r="E29" s="8"/>
      <c r="F29" s="8"/>
      <c r="G29" s="8"/>
      <c r="H29" s="8"/>
    </row>
    <row r="30" spans="1:10">
      <c r="A30" s="9"/>
      <c r="C30" s="3"/>
      <c r="D30" s="8"/>
      <c r="E30" s="8"/>
      <c r="F30" s="8"/>
      <c r="G30" s="8"/>
      <c r="H30" s="8"/>
    </row>
    <row r="31" spans="1:10">
      <c r="A31" s="9"/>
      <c r="C31" s="3"/>
      <c r="D31" s="8"/>
      <c r="E31" s="8"/>
      <c r="F31" s="8"/>
      <c r="G31" s="8"/>
      <c r="H31" s="8"/>
    </row>
    <row r="32" spans="1:10">
      <c r="A32" s="9"/>
      <c r="C32" s="3"/>
      <c r="D32" s="8"/>
      <c r="E32" s="8"/>
      <c r="F32" s="8"/>
      <c r="G32" s="8"/>
      <c r="H32" s="8"/>
    </row>
    <row r="33" spans="1:8">
      <c r="A33" s="9"/>
      <c r="C33" s="3"/>
      <c r="D33" s="8"/>
      <c r="E33" s="8"/>
      <c r="F33" s="8"/>
      <c r="G33" s="8"/>
      <c r="H33" s="8"/>
    </row>
    <row r="34" spans="1:8">
      <c r="A34" s="9"/>
      <c r="C34" s="3"/>
      <c r="D34" s="8"/>
      <c r="E34" s="8"/>
      <c r="F34" s="8"/>
      <c r="G34" s="8"/>
      <c r="H34" s="8"/>
    </row>
    <row r="35" spans="1:8">
      <c r="A35" s="9"/>
      <c r="C35" s="3"/>
      <c r="D35" s="8"/>
      <c r="E35" s="8"/>
      <c r="F35" s="8"/>
      <c r="G35" s="8"/>
      <c r="H35" s="8"/>
    </row>
    <row r="36" spans="1:8">
      <c r="A36" s="9"/>
      <c r="C36" s="3"/>
      <c r="D36" s="8"/>
      <c r="E36" s="8"/>
      <c r="F36" s="8"/>
      <c r="G36" s="8"/>
      <c r="H36" s="8"/>
    </row>
    <row r="37" spans="1:8">
      <c r="A37" s="9"/>
      <c r="C37" s="3"/>
      <c r="D37" s="8"/>
      <c r="E37" s="8"/>
      <c r="F37" s="8"/>
      <c r="G37" s="8"/>
      <c r="H37" s="8"/>
    </row>
    <row r="38" spans="1:8">
      <c r="A38" s="9"/>
      <c r="C38" s="3"/>
      <c r="D38" s="8"/>
      <c r="E38" s="8"/>
      <c r="F38" s="8"/>
      <c r="G38" s="8"/>
      <c r="H38" s="8"/>
    </row>
    <row r="39" spans="1:8">
      <c r="A39" s="9"/>
      <c r="C39" s="3"/>
      <c r="D39" s="8"/>
      <c r="E39" s="8"/>
      <c r="F39" s="8"/>
      <c r="G39" s="8"/>
      <c r="H39" s="8"/>
    </row>
    <row r="40" spans="1:8">
      <c r="A40" s="9"/>
      <c r="C40" s="3"/>
      <c r="D40" s="8"/>
      <c r="E40" s="8"/>
      <c r="F40" s="8"/>
      <c r="G40" s="8"/>
      <c r="H40" s="8"/>
    </row>
    <row r="41" spans="1:8">
      <c r="A41" s="9"/>
      <c r="C41" s="3"/>
      <c r="D41" s="8"/>
      <c r="E41" s="8"/>
      <c r="F41" s="8"/>
      <c r="G41" s="8"/>
      <c r="H41" s="8"/>
    </row>
    <row r="42" spans="1:8">
      <c r="A42" s="9"/>
      <c r="C42" s="3"/>
      <c r="D42" s="8"/>
      <c r="E42" s="8"/>
      <c r="F42" s="8"/>
      <c r="G42" s="8"/>
      <c r="H42" s="8"/>
    </row>
    <row r="43" spans="1:8">
      <c r="A43" s="9"/>
      <c r="C43" s="3"/>
      <c r="D43" s="8"/>
      <c r="E43" s="8"/>
      <c r="F43" s="8"/>
      <c r="G43" s="8"/>
      <c r="H43" s="8"/>
    </row>
    <row r="44" spans="1:8">
      <c r="A44" s="9"/>
      <c r="C44" s="3"/>
      <c r="D44" s="8"/>
      <c r="E44" s="8"/>
      <c r="F44" s="8"/>
      <c r="G44" s="8"/>
      <c r="H44" s="8"/>
    </row>
    <row r="45" spans="1:8">
      <c r="A45" s="9"/>
      <c r="C45" s="3"/>
      <c r="D45" s="8"/>
      <c r="E45" s="8"/>
      <c r="F45" s="8"/>
      <c r="G45" s="8"/>
      <c r="H45" s="8"/>
    </row>
    <row r="46" spans="1:8">
      <c r="A46" s="9"/>
      <c r="C46" s="3"/>
      <c r="D46" s="8"/>
      <c r="E46" s="8"/>
      <c r="F46" s="8"/>
      <c r="G46" s="8"/>
      <c r="H46" s="8"/>
    </row>
    <row r="47" spans="1:8">
      <c r="A47" s="9"/>
      <c r="C47" s="3"/>
      <c r="D47" s="8"/>
      <c r="E47" s="8"/>
      <c r="F47" s="8"/>
      <c r="G47" s="8"/>
      <c r="H47" s="8"/>
    </row>
    <row r="48" spans="1:8">
      <c r="A48" s="9"/>
      <c r="C48" s="3"/>
      <c r="D48" s="8"/>
      <c r="E48" s="8"/>
      <c r="F48" s="8"/>
      <c r="G48" s="8"/>
      <c r="H48" s="8"/>
    </row>
    <row r="49" spans="1:8">
      <c r="A49" s="9"/>
      <c r="C49" s="3"/>
      <c r="D49" s="8"/>
      <c r="E49" s="8"/>
      <c r="F49" s="8"/>
      <c r="G49" s="8"/>
      <c r="H49" s="8"/>
    </row>
    <row r="50" spans="1:8">
      <c r="A50" s="9"/>
      <c r="C50" s="3"/>
      <c r="D50" s="8"/>
      <c r="E50" s="8"/>
      <c r="F50" s="8"/>
      <c r="G50" s="8"/>
      <c r="H50" s="8"/>
    </row>
    <row r="51" spans="1:8">
      <c r="A51" s="9"/>
      <c r="C51" s="3"/>
      <c r="D51" s="8"/>
      <c r="E51" s="8"/>
      <c r="F51" s="8"/>
      <c r="G51" s="8"/>
      <c r="H51" s="8"/>
    </row>
    <row r="52" spans="1:8">
      <c r="A52" s="9"/>
      <c r="C52" s="3"/>
      <c r="D52" s="8"/>
      <c r="E52" s="8"/>
      <c r="F52" s="8"/>
      <c r="G52" s="8"/>
      <c r="H52" s="8"/>
    </row>
    <row r="53" spans="1:8">
      <c r="A53" s="9"/>
      <c r="C53" s="3"/>
      <c r="D53" s="8"/>
      <c r="E53" s="8"/>
      <c r="F53" s="8"/>
      <c r="G53" s="8"/>
      <c r="H53" s="8"/>
    </row>
    <row r="54" spans="1:8">
      <c r="A54" s="9"/>
      <c r="C54" s="3"/>
      <c r="D54" s="8"/>
      <c r="E54" s="8"/>
      <c r="F54" s="8"/>
      <c r="G54" s="8"/>
      <c r="H54" s="8"/>
    </row>
    <row r="55" spans="1:8">
      <c r="A55" s="9"/>
      <c r="C55" s="3"/>
      <c r="D55" s="8"/>
      <c r="E55" s="8"/>
      <c r="F55" s="8"/>
      <c r="G55" s="8"/>
      <c r="H55" s="8"/>
    </row>
    <row r="56" spans="1:8">
      <c r="A56" s="9"/>
      <c r="C56" s="3"/>
      <c r="D56" s="8"/>
      <c r="E56" s="8"/>
      <c r="F56" s="8"/>
      <c r="G56" s="8"/>
      <c r="H56" s="8"/>
    </row>
    <row r="57" spans="1:8">
      <c r="A57" s="9"/>
      <c r="C57" s="3"/>
      <c r="D57" s="8"/>
      <c r="E57" s="8"/>
      <c r="F57" s="8"/>
      <c r="G57" s="8"/>
      <c r="H57" s="8"/>
    </row>
    <row r="58" spans="1:8">
      <c r="A58" s="9"/>
      <c r="C58" s="3"/>
      <c r="D58" s="8"/>
      <c r="E58" s="8"/>
      <c r="F58" s="8"/>
      <c r="G58" s="8"/>
      <c r="H58" s="8"/>
    </row>
    <row r="59" spans="1:8">
      <c r="A59" s="9"/>
      <c r="C59" s="3"/>
      <c r="D59" s="8"/>
      <c r="E59" s="8"/>
      <c r="F59" s="8"/>
      <c r="G59" s="8"/>
      <c r="H59" s="8"/>
    </row>
    <row r="60" spans="1:8">
      <c r="A60" s="9"/>
      <c r="C60" s="3"/>
      <c r="D60" s="8"/>
      <c r="E60" s="8"/>
      <c r="F60" s="8"/>
      <c r="G60" s="8"/>
      <c r="H60" s="8"/>
    </row>
    <row r="61" spans="1:8">
      <c r="A61" s="9"/>
      <c r="C61" s="3"/>
      <c r="D61" s="8"/>
      <c r="E61" s="8"/>
      <c r="F61" s="8"/>
      <c r="G61" s="8"/>
      <c r="H61" s="8"/>
    </row>
    <row r="62" spans="1:8">
      <c r="A62" s="9"/>
      <c r="C62" s="3"/>
      <c r="D62" s="8"/>
      <c r="E62" s="8"/>
      <c r="F62" s="8"/>
      <c r="G62" s="8"/>
      <c r="H62" s="8"/>
    </row>
    <row r="63" spans="1:8">
      <c r="A63" s="9"/>
      <c r="C63" s="3"/>
      <c r="D63" s="8"/>
      <c r="E63" s="8"/>
      <c r="F63" s="8"/>
      <c r="G63" s="8"/>
      <c r="H63" s="8"/>
    </row>
    <row r="64" spans="1:8">
      <c r="A64" s="9"/>
      <c r="C64" s="3"/>
      <c r="D64" s="8"/>
      <c r="E64" s="8"/>
      <c r="F64" s="8"/>
      <c r="G64" s="8"/>
      <c r="H64" s="8"/>
    </row>
    <row r="65" spans="1:8">
      <c r="A65" s="9"/>
      <c r="C65" s="3"/>
      <c r="D65" s="8"/>
      <c r="E65" s="8"/>
      <c r="F65" s="8"/>
      <c r="G65" s="8"/>
      <c r="H65" s="8"/>
    </row>
    <row r="66" spans="1:8">
      <c r="A66" s="9"/>
      <c r="C66" s="3"/>
      <c r="D66" s="8"/>
      <c r="E66" s="8"/>
      <c r="F66" s="8"/>
      <c r="G66" s="8"/>
      <c r="H66" s="8"/>
    </row>
    <row r="67" spans="1:8">
      <c r="A67" s="9"/>
      <c r="C67" s="3"/>
      <c r="D67" s="8"/>
      <c r="E67" s="8"/>
      <c r="F67" s="8"/>
      <c r="G67" s="8"/>
      <c r="H67" s="8"/>
    </row>
    <row r="68" spans="1:8">
      <c r="A68" s="9"/>
      <c r="C68" s="3"/>
      <c r="D68" s="8"/>
      <c r="E68" s="8"/>
      <c r="F68" s="8"/>
      <c r="G68" s="8"/>
      <c r="H68" s="8"/>
    </row>
    <row r="69" spans="1:8">
      <c r="A69" s="9"/>
      <c r="C69" s="3"/>
      <c r="D69" s="8"/>
      <c r="E69" s="8"/>
      <c r="F69" s="8"/>
      <c r="G69" s="8"/>
      <c r="H69" s="8"/>
    </row>
    <row r="70" spans="1:8">
      <c r="A70" s="9"/>
      <c r="C70" s="3"/>
      <c r="D70" s="8"/>
      <c r="E70" s="8"/>
      <c r="F70" s="8"/>
      <c r="G70" s="8"/>
      <c r="H70" s="8"/>
    </row>
    <row r="71" spans="1:8">
      <c r="A71" s="9"/>
      <c r="C71" s="3"/>
      <c r="D71" s="8"/>
      <c r="E71" s="8"/>
      <c r="F71" s="8"/>
      <c r="G71" s="8"/>
      <c r="H71" s="8"/>
    </row>
    <row r="72" spans="1:8">
      <c r="A72" s="9"/>
      <c r="C72" s="3"/>
      <c r="D72" s="8"/>
      <c r="E72" s="8"/>
      <c r="F72" s="8"/>
      <c r="G72" s="8"/>
      <c r="H72" s="8"/>
    </row>
    <row r="73" spans="1:8">
      <c r="A73" s="9"/>
      <c r="C73" s="3"/>
      <c r="D73" s="8"/>
      <c r="E73" s="8"/>
      <c r="F73" s="8"/>
      <c r="G73" s="8"/>
      <c r="H73" s="8"/>
    </row>
    <row r="74" spans="1:8">
      <c r="A74" s="9"/>
      <c r="C74" s="3"/>
      <c r="D74" s="8"/>
      <c r="E74" s="8"/>
      <c r="F74" s="8"/>
      <c r="G74" s="8"/>
      <c r="H74" s="8"/>
    </row>
    <row r="75" spans="1:8">
      <c r="A75" s="9"/>
    </row>
    <row r="76" spans="1:8">
      <c r="A76" s="10"/>
    </row>
    <row r="77" spans="1:8">
      <c r="A77" s="10"/>
    </row>
    <row r="78" spans="1:8">
      <c r="A78" s="10"/>
    </row>
    <row r="79" spans="1:8">
      <c r="A79" s="10"/>
    </row>
    <row r="80" spans="1:8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  <row r="136" spans="1:1">
      <c r="A136" s="10"/>
    </row>
    <row r="137" spans="1:1">
      <c r="A137" s="10"/>
    </row>
    <row r="138" spans="1:1">
      <c r="A138" s="10"/>
    </row>
    <row r="139" spans="1:1">
      <c r="A139" s="10"/>
    </row>
    <row r="140" spans="1:1">
      <c r="A140" s="10"/>
    </row>
    <row r="141" spans="1:1">
      <c r="A141" s="10"/>
    </row>
    <row r="142" spans="1:1">
      <c r="A142" s="10"/>
    </row>
    <row r="143" spans="1:1">
      <c r="A143" s="10"/>
    </row>
    <row r="144" spans="1:1">
      <c r="A144" s="10"/>
    </row>
    <row r="145" spans="1:1">
      <c r="A145" s="10"/>
    </row>
    <row r="146" spans="1:1">
      <c r="A146" s="10"/>
    </row>
    <row r="147" spans="1:1">
      <c r="A147" s="10"/>
    </row>
    <row r="148" spans="1:1">
      <c r="A148" s="10"/>
    </row>
    <row r="149" spans="1:1">
      <c r="A149" s="10"/>
    </row>
    <row r="150" spans="1:1">
      <c r="A150" s="10"/>
    </row>
    <row r="151" spans="1:1">
      <c r="A151" s="10"/>
    </row>
    <row r="152" spans="1:1">
      <c r="A152" s="10"/>
    </row>
    <row r="153" spans="1:1">
      <c r="A153" s="10"/>
    </row>
    <row r="154" spans="1:1">
      <c r="A154" s="10"/>
    </row>
    <row r="155" spans="1:1">
      <c r="A155" s="10"/>
    </row>
    <row r="156" spans="1:1">
      <c r="A156" s="10"/>
    </row>
    <row r="157" spans="1:1">
      <c r="A157" s="10"/>
    </row>
    <row r="158" spans="1:1">
      <c r="A158" s="10"/>
    </row>
    <row r="159" spans="1:1">
      <c r="A159" s="10"/>
    </row>
    <row r="160" spans="1:1">
      <c r="A160" s="10"/>
    </row>
    <row r="161" spans="1:1">
      <c r="A161" s="10"/>
    </row>
    <row r="162" spans="1:1">
      <c r="A162" s="10"/>
    </row>
    <row r="163" spans="1:1">
      <c r="A163" s="10"/>
    </row>
    <row r="164" spans="1:1">
      <c r="A164" s="10"/>
    </row>
    <row r="165" spans="1:1">
      <c r="A165" s="10"/>
    </row>
    <row r="166" spans="1:1">
      <c r="A166" s="10"/>
    </row>
    <row r="167" spans="1:1">
      <c r="A167" s="10"/>
    </row>
    <row r="168" spans="1:1">
      <c r="A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</sheetData>
  <sheetProtection algorithmName="SHA-512" hashValue="Eye6w5glgJOUgv8RyvCZvJTlGMCBOml6CbcXmLwifGA9RSlDvOefAg1Acr4JuHPCkaWCNF2gyEzpxNvKA126hg==" saltValue="Yw1zs10ege1PtK8oU3cpCw==" spinCount="100000" sheet="1" objects="1" scenarios="1" selectLockedCells="1" selectUnlockedCells="1"/>
  <mergeCells count="14">
    <mergeCell ref="A25:B25"/>
    <mergeCell ref="H25:I25"/>
    <mergeCell ref="G18:J18"/>
    <mergeCell ref="G17:J17"/>
    <mergeCell ref="C17:E17"/>
    <mergeCell ref="C18:E18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3"/>
  <sheetViews>
    <sheetView zoomScale="86" zoomScaleNormal="86" workbookViewId="0">
      <pane ySplit="22" topLeftCell="A129" activePane="bottomLeft" state="frozen"/>
      <selection pane="bottomLeft" activeCell="A157" sqref="A157:XFD157"/>
    </sheetView>
  </sheetViews>
  <sheetFormatPr defaultRowHeight="13.2"/>
  <cols>
    <col min="1" max="1" width="8.6640625" customWidth="1"/>
    <col min="2" max="2" width="10.109375" customWidth="1"/>
    <col min="3" max="3" width="10" customWidth="1"/>
    <col min="4" max="4" width="11.44140625" customWidth="1"/>
    <col min="5" max="5" width="10.109375" customWidth="1"/>
    <col min="6" max="6" width="10.33203125" customWidth="1"/>
    <col min="7" max="7" width="10.5546875" customWidth="1"/>
    <col min="8" max="8" width="10.33203125" customWidth="1"/>
    <col min="9" max="9" width="10.109375" customWidth="1"/>
    <col min="10" max="10" width="8.88671875" customWidth="1"/>
    <col min="11" max="12" width="10.88671875" customWidth="1"/>
    <col min="13" max="13" width="10.44140625" customWidth="1"/>
    <col min="14" max="14" width="10.5546875" customWidth="1"/>
    <col min="15" max="15" width="10.88671875" customWidth="1"/>
    <col min="16" max="16" width="10.6640625" customWidth="1"/>
    <col min="17" max="17" width="10.88671875" customWidth="1"/>
    <col min="18" max="18" width="11.44140625" customWidth="1"/>
    <col min="19" max="19" width="10" customWidth="1"/>
    <col min="20" max="20" width="11.109375" customWidth="1"/>
    <col min="21" max="21" width="10.88671875" customWidth="1"/>
    <col min="22" max="22" width="11.44140625" customWidth="1"/>
    <col min="23" max="23" width="10.88671875" customWidth="1"/>
    <col min="24" max="24" width="12.44140625" customWidth="1"/>
    <col min="25" max="25" width="13" customWidth="1"/>
    <col min="26" max="26" width="12" customWidth="1"/>
    <col min="27" max="27" width="10.6640625" bestFit="1" customWidth="1"/>
    <col min="28" max="28" width="11.6640625" customWidth="1"/>
  </cols>
  <sheetData>
    <row r="1" spans="1:26" ht="13.8" thickBot="1">
      <c r="A1" s="735" t="s">
        <v>464</v>
      </c>
      <c r="B1" s="735"/>
      <c r="C1" s="735"/>
      <c r="D1" s="735"/>
      <c r="E1" s="735"/>
      <c r="F1" s="735"/>
      <c r="G1" s="735"/>
      <c r="H1" s="735"/>
      <c r="I1" s="735"/>
      <c r="J1" s="735"/>
    </row>
    <row r="2" spans="1:26" ht="34.5" customHeight="1" thickBot="1">
      <c r="A2" s="722" t="s">
        <v>46</v>
      </c>
      <c r="B2" s="724" t="s">
        <v>533</v>
      </c>
      <c r="C2" s="725"/>
      <c r="D2" s="726"/>
      <c r="E2" s="727" t="s">
        <v>472</v>
      </c>
      <c r="F2" s="728"/>
      <c r="G2" s="729"/>
      <c r="H2" s="727" t="s">
        <v>473</v>
      </c>
      <c r="I2" s="728"/>
      <c r="J2" s="729"/>
      <c r="K2" s="730" t="s">
        <v>470</v>
      </c>
      <c r="L2" s="731"/>
      <c r="M2" s="732"/>
      <c r="N2" s="724" t="s">
        <v>471</v>
      </c>
      <c r="O2" s="725"/>
      <c r="P2" s="726"/>
      <c r="Q2" s="727" t="s">
        <v>474</v>
      </c>
      <c r="R2" s="728"/>
      <c r="S2" s="729"/>
      <c r="T2" s="727" t="s">
        <v>561</v>
      </c>
      <c r="U2" s="728"/>
      <c r="V2" s="729"/>
      <c r="W2" s="11"/>
      <c r="X2" s="719" t="s">
        <v>436</v>
      </c>
      <c r="Y2" s="720"/>
      <c r="Z2" s="721"/>
    </row>
    <row r="3" spans="1:26" ht="40.5" customHeight="1" thickBot="1">
      <c r="A3" s="723"/>
      <c r="B3" s="12" t="s">
        <v>437</v>
      </c>
      <c r="C3" s="13" t="s">
        <v>438</v>
      </c>
      <c r="D3" s="14" t="s">
        <v>439</v>
      </c>
      <c r="E3" s="14" t="s">
        <v>439</v>
      </c>
      <c r="F3" s="13" t="s">
        <v>437</v>
      </c>
      <c r="G3" s="15" t="s">
        <v>438</v>
      </c>
      <c r="H3" s="14" t="s">
        <v>439</v>
      </c>
      <c r="I3" s="13" t="s">
        <v>437</v>
      </c>
      <c r="J3" s="16" t="s">
        <v>438</v>
      </c>
      <c r="K3" s="18" t="s">
        <v>437</v>
      </c>
      <c r="L3" s="18" t="s">
        <v>438</v>
      </c>
      <c r="M3" s="19" t="s">
        <v>439</v>
      </c>
      <c r="N3" s="13" t="s">
        <v>437</v>
      </c>
      <c r="O3" s="13" t="s">
        <v>438</v>
      </c>
      <c r="P3" s="17" t="s">
        <v>439</v>
      </c>
      <c r="Q3" s="14" t="s">
        <v>439</v>
      </c>
      <c r="R3" s="13" t="s">
        <v>437</v>
      </c>
      <c r="S3" s="16" t="s">
        <v>438</v>
      </c>
      <c r="T3" s="13" t="s">
        <v>437</v>
      </c>
      <c r="U3" s="13" t="s">
        <v>438</v>
      </c>
      <c r="V3" s="17" t="s">
        <v>439</v>
      </c>
      <c r="W3" s="20"/>
      <c r="X3" s="13" t="s">
        <v>437</v>
      </c>
      <c r="Y3" s="13" t="s">
        <v>438</v>
      </c>
      <c r="Z3" s="17" t="s">
        <v>439</v>
      </c>
    </row>
    <row r="4" spans="1:26" ht="12.75" customHeight="1" thickBot="1">
      <c r="A4" s="24"/>
      <c r="B4" s="280">
        <f t="shared" ref="B4:P4" si="0">B9+B22+B39+B56+B73+B90+B107+B124</f>
        <v>2791540</v>
      </c>
      <c r="C4" s="25">
        <f t="shared" si="0"/>
        <v>352732.28</v>
      </c>
      <c r="D4" s="25">
        <f t="shared" si="0"/>
        <v>3144272.28</v>
      </c>
      <c r="E4" s="25">
        <f t="shared" si="0"/>
        <v>2515230</v>
      </c>
      <c r="F4" s="280">
        <f t="shared" si="0"/>
        <v>2117069</v>
      </c>
      <c r="G4" s="25">
        <f t="shared" si="0"/>
        <v>398161</v>
      </c>
      <c r="H4" s="25">
        <f t="shared" si="0"/>
        <v>3185021.4</v>
      </c>
      <c r="I4" s="280">
        <f>I9+I22+I39+I56+I73+I90+I107+I124</f>
        <v>2680832</v>
      </c>
      <c r="J4" s="25">
        <f t="shared" si="0"/>
        <v>504189.4</v>
      </c>
      <c r="K4" s="280">
        <f>K9+K22+K39+K56+K73+K90+K107+K124</f>
        <v>2750000</v>
      </c>
      <c r="L4" s="25">
        <f t="shared" si="0"/>
        <v>350136.66</v>
      </c>
      <c r="M4" s="25">
        <f t="shared" si="0"/>
        <v>3100136.66</v>
      </c>
      <c r="N4" s="280">
        <f t="shared" si="0"/>
        <v>5520000</v>
      </c>
      <c r="O4" s="25">
        <f t="shared" si="0"/>
        <v>1089167.1200000001</v>
      </c>
      <c r="P4" s="25">
        <f t="shared" si="0"/>
        <v>6609167.1200000001</v>
      </c>
      <c r="Q4" s="281">
        <f>Q56+Q73+Q90+Q107+Q124+Q141</f>
        <v>2289892.5499999998</v>
      </c>
      <c r="R4" s="280">
        <f>R56+R73+R90+R107+R124+R141</f>
        <v>1796244</v>
      </c>
      <c r="S4" s="281">
        <f>S56+S73+S90+S107+S124+S141</f>
        <v>493648.55</v>
      </c>
      <c r="T4" s="280">
        <f>T107+T124+T141+T158+T175+T192</f>
        <v>5292000</v>
      </c>
      <c r="U4" s="281">
        <f t="shared" ref="U4:V4" si="1">U107+U124+U141+U158+U175+U192</f>
        <v>1701142.4</v>
      </c>
      <c r="V4" s="281">
        <f t="shared" si="1"/>
        <v>6993142.4000000004</v>
      </c>
      <c r="W4" s="26"/>
      <c r="X4" s="27"/>
      <c r="Y4" s="27"/>
      <c r="Z4" s="28"/>
    </row>
    <row r="5" spans="1:26" hidden="1">
      <c r="A5" s="29" t="s">
        <v>440</v>
      </c>
      <c r="B5" s="30">
        <v>46526</v>
      </c>
      <c r="C5" s="31">
        <v>9560.07</v>
      </c>
      <c r="D5" s="32">
        <f>B5+C5</f>
        <v>56086.07</v>
      </c>
      <c r="E5" s="33"/>
      <c r="F5" s="33"/>
      <c r="G5" s="34"/>
      <c r="H5" s="35"/>
      <c r="I5" s="33"/>
      <c r="J5" s="36"/>
      <c r="K5" s="35"/>
      <c r="L5" s="33"/>
      <c r="M5" s="34"/>
      <c r="N5" s="37"/>
      <c r="O5" s="33"/>
      <c r="P5" s="34"/>
      <c r="Q5" s="93"/>
      <c r="R5" s="93"/>
      <c r="S5" s="93"/>
      <c r="T5" s="93"/>
      <c r="U5" s="93"/>
      <c r="V5" s="93"/>
      <c r="W5" s="29" t="s">
        <v>440</v>
      </c>
      <c r="X5" s="38"/>
      <c r="Y5" s="38"/>
      <c r="Z5" s="38"/>
    </row>
    <row r="6" spans="1:26" hidden="1">
      <c r="A6" s="39">
        <v>10</v>
      </c>
      <c r="B6" s="40">
        <v>46526</v>
      </c>
      <c r="C6" s="41">
        <v>11280.88</v>
      </c>
      <c r="D6" s="42">
        <f t="shared" ref="D6:D21" si="2">B6+C6</f>
        <v>57806.879999999997</v>
      </c>
      <c r="E6" s="43"/>
      <c r="F6" s="43"/>
      <c r="G6" s="44"/>
      <c r="H6" s="45"/>
      <c r="I6" s="43"/>
      <c r="J6" s="46"/>
      <c r="K6" s="45"/>
      <c r="L6" s="43"/>
      <c r="M6" s="44"/>
      <c r="N6" s="47"/>
      <c r="O6" s="43"/>
      <c r="P6" s="44"/>
      <c r="Q6" s="74"/>
      <c r="R6" s="74"/>
      <c r="S6" s="74"/>
      <c r="T6" s="74"/>
      <c r="U6" s="74"/>
      <c r="V6" s="74"/>
      <c r="W6" s="39">
        <v>10</v>
      </c>
      <c r="X6" s="38"/>
      <c r="Y6" s="38"/>
      <c r="Z6" s="38"/>
    </row>
    <row r="7" spans="1:26" hidden="1">
      <c r="A7" s="39">
        <v>11</v>
      </c>
      <c r="B7" s="40">
        <v>46526</v>
      </c>
      <c r="C7" s="41">
        <v>11459.33</v>
      </c>
      <c r="D7" s="42">
        <f t="shared" si="2"/>
        <v>57985.33</v>
      </c>
      <c r="E7" s="43"/>
      <c r="F7" s="43"/>
      <c r="G7" s="44"/>
      <c r="H7" s="45"/>
      <c r="I7" s="43"/>
      <c r="J7" s="46"/>
      <c r="K7" s="45"/>
      <c r="L7" s="43"/>
      <c r="M7" s="44"/>
      <c r="N7" s="47"/>
      <c r="O7" s="43"/>
      <c r="P7" s="44"/>
      <c r="Q7" s="74"/>
      <c r="R7" s="74"/>
      <c r="S7" s="74"/>
      <c r="T7" s="74"/>
      <c r="U7" s="74"/>
      <c r="V7" s="74"/>
      <c r="W7" s="39">
        <v>11</v>
      </c>
      <c r="X7" s="38"/>
      <c r="Y7" s="38"/>
      <c r="Z7" s="38"/>
    </row>
    <row r="8" spans="1:26" hidden="1">
      <c r="A8" s="39">
        <f t="shared" ref="A8:A21" si="3">A7+1</f>
        <v>12</v>
      </c>
      <c r="B8" s="40">
        <v>46526</v>
      </c>
      <c r="C8" s="41">
        <v>10898.47</v>
      </c>
      <c r="D8" s="42">
        <f t="shared" si="2"/>
        <v>57424.47</v>
      </c>
      <c r="E8" s="43"/>
      <c r="F8" s="43"/>
      <c r="G8" s="44"/>
      <c r="H8" s="45"/>
      <c r="I8" s="43"/>
      <c r="J8" s="46"/>
      <c r="K8" s="45"/>
      <c r="L8" s="43"/>
      <c r="M8" s="44"/>
      <c r="N8" s="47"/>
      <c r="O8" s="43"/>
      <c r="P8" s="44"/>
      <c r="Q8" s="74"/>
      <c r="R8" s="74"/>
      <c r="S8" s="74"/>
      <c r="T8" s="74"/>
      <c r="U8" s="74"/>
      <c r="V8" s="74"/>
      <c r="W8" s="39">
        <f t="shared" ref="W8:W21" si="4">W7+1</f>
        <v>12</v>
      </c>
      <c r="X8" s="38"/>
      <c r="Y8" s="38"/>
      <c r="Z8" s="38"/>
    </row>
    <row r="9" spans="1:26" hidden="1">
      <c r="A9" s="48" t="s">
        <v>441</v>
      </c>
      <c r="B9" s="49">
        <f>SUM(B5:B8)</f>
        <v>186104</v>
      </c>
      <c r="C9" s="49">
        <f>SUM(C5:C8)</f>
        <v>43198.75</v>
      </c>
      <c r="D9" s="49">
        <f>SUM(D5:D8)</f>
        <v>229302.75</v>
      </c>
      <c r="E9" s="43"/>
      <c r="F9" s="43"/>
      <c r="G9" s="44"/>
      <c r="H9" s="45"/>
      <c r="I9" s="43"/>
      <c r="J9" s="46"/>
      <c r="K9" s="45"/>
      <c r="L9" s="43"/>
      <c r="M9" s="44"/>
      <c r="N9" s="47"/>
      <c r="O9" s="43"/>
      <c r="P9" s="44"/>
      <c r="Q9" s="95"/>
      <c r="R9" s="95"/>
      <c r="S9" s="95"/>
      <c r="T9" s="95"/>
      <c r="U9" s="95"/>
      <c r="V9" s="95"/>
      <c r="W9" s="48" t="s">
        <v>441</v>
      </c>
      <c r="X9" s="38"/>
      <c r="Y9" s="38"/>
      <c r="Z9" s="38"/>
    </row>
    <row r="10" spans="1:26" hidden="1">
      <c r="A10" s="39" t="s">
        <v>442</v>
      </c>
      <c r="B10" s="40">
        <v>46526</v>
      </c>
      <c r="C10" s="41">
        <v>11064.18</v>
      </c>
      <c r="D10" s="42">
        <f t="shared" si="2"/>
        <v>57590.18</v>
      </c>
      <c r="E10" s="43"/>
      <c r="F10" s="43"/>
      <c r="G10" s="44"/>
      <c r="H10" s="45"/>
      <c r="I10" s="43"/>
      <c r="J10" s="46"/>
      <c r="K10" s="45"/>
      <c r="L10" s="43"/>
      <c r="M10" s="44"/>
      <c r="N10" s="47"/>
      <c r="O10" s="43"/>
      <c r="P10" s="44"/>
      <c r="Q10" s="74"/>
      <c r="R10" s="74"/>
      <c r="S10" s="74"/>
      <c r="T10" s="74"/>
      <c r="U10" s="74"/>
      <c r="V10" s="74"/>
      <c r="W10" s="39" t="s">
        <v>442</v>
      </c>
      <c r="X10" s="38"/>
      <c r="Y10" s="38"/>
      <c r="Z10" s="38"/>
    </row>
    <row r="11" spans="1:26" hidden="1">
      <c r="A11" s="39">
        <v>2</v>
      </c>
      <c r="B11" s="40">
        <v>46526</v>
      </c>
      <c r="C11" s="41">
        <v>10866.6</v>
      </c>
      <c r="D11" s="42">
        <f t="shared" si="2"/>
        <v>57392.6</v>
      </c>
      <c r="E11" s="43"/>
      <c r="F11" s="43"/>
      <c r="G11" s="44"/>
      <c r="H11" s="45"/>
      <c r="I11" s="43"/>
      <c r="J11" s="46"/>
      <c r="K11" s="45"/>
      <c r="L11" s="43"/>
      <c r="M11" s="44"/>
      <c r="N11" s="47"/>
      <c r="O11" s="43"/>
      <c r="P11" s="44"/>
      <c r="Q11" s="74"/>
      <c r="R11" s="74"/>
      <c r="S11" s="74"/>
      <c r="T11" s="74"/>
      <c r="U11" s="74"/>
      <c r="V11" s="74"/>
      <c r="W11" s="39">
        <v>2</v>
      </c>
      <c r="X11" s="38"/>
      <c r="Y11" s="38"/>
      <c r="Z11" s="38"/>
    </row>
    <row r="12" spans="1:26" hidden="1">
      <c r="A12" s="39">
        <f t="shared" si="3"/>
        <v>3</v>
      </c>
      <c r="B12" s="40">
        <v>46526</v>
      </c>
      <c r="C12" s="41">
        <v>9636.5400000000009</v>
      </c>
      <c r="D12" s="42">
        <f t="shared" si="2"/>
        <v>56162.54</v>
      </c>
      <c r="E12" s="43"/>
      <c r="F12" s="43"/>
      <c r="G12" s="44"/>
      <c r="H12" s="45"/>
      <c r="I12" s="43"/>
      <c r="J12" s="46"/>
      <c r="K12" s="45"/>
      <c r="L12" s="43"/>
      <c r="M12" s="44"/>
      <c r="N12" s="47"/>
      <c r="O12" s="43"/>
      <c r="P12" s="44"/>
      <c r="Q12" s="74"/>
      <c r="R12" s="74"/>
      <c r="S12" s="74"/>
      <c r="T12" s="74"/>
      <c r="U12" s="74"/>
      <c r="V12" s="74"/>
      <c r="W12" s="39">
        <f t="shared" si="4"/>
        <v>3</v>
      </c>
      <c r="X12" s="38"/>
      <c r="Y12" s="38"/>
      <c r="Z12" s="38"/>
    </row>
    <row r="13" spans="1:26" hidden="1">
      <c r="A13" s="39">
        <f t="shared" si="3"/>
        <v>4</v>
      </c>
      <c r="B13" s="40">
        <v>46526</v>
      </c>
      <c r="C13" s="41">
        <v>10471.450000000001</v>
      </c>
      <c r="D13" s="42">
        <f t="shared" si="2"/>
        <v>56997.45</v>
      </c>
      <c r="E13" s="43"/>
      <c r="F13" s="43"/>
      <c r="G13" s="44"/>
      <c r="H13" s="45"/>
      <c r="I13" s="43"/>
      <c r="J13" s="46"/>
      <c r="K13" s="45"/>
      <c r="L13" s="43"/>
      <c r="M13" s="44"/>
      <c r="N13" s="47"/>
      <c r="O13" s="43"/>
      <c r="P13" s="44"/>
      <c r="Q13" s="74"/>
      <c r="R13" s="74"/>
      <c r="S13" s="74"/>
      <c r="T13" s="74"/>
      <c r="U13" s="74"/>
      <c r="V13" s="74"/>
      <c r="W13" s="39">
        <f t="shared" si="4"/>
        <v>4</v>
      </c>
      <c r="X13" s="38"/>
      <c r="Y13" s="38"/>
      <c r="Z13" s="38"/>
    </row>
    <row r="14" spans="1:26" hidden="1">
      <c r="A14" s="39">
        <f t="shared" si="3"/>
        <v>5</v>
      </c>
      <c r="B14" s="40">
        <v>46526</v>
      </c>
      <c r="C14" s="41">
        <v>9942.4599999999991</v>
      </c>
      <c r="D14" s="42">
        <f t="shared" si="2"/>
        <v>56468.46</v>
      </c>
      <c r="E14" s="43"/>
      <c r="F14" s="43"/>
      <c r="G14" s="44"/>
      <c r="H14" s="45"/>
      <c r="I14" s="43"/>
      <c r="J14" s="46"/>
      <c r="K14" s="45"/>
      <c r="L14" s="43"/>
      <c r="M14" s="44"/>
      <c r="N14" s="47"/>
      <c r="O14" s="43"/>
      <c r="P14" s="44"/>
      <c r="Q14" s="74"/>
      <c r="R14" s="74"/>
      <c r="S14" s="74"/>
      <c r="T14" s="74"/>
      <c r="U14" s="74"/>
      <c r="V14" s="74"/>
      <c r="W14" s="39">
        <f t="shared" si="4"/>
        <v>5</v>
      </c>
      <c r="X14" s="38"/>
      <c r="Y14" s="38"/>
      <c r="Z14" s="38"/>
    </row>
    <row r="15" spans="1:26" hidden="1">
      <c r="A15" s="39">
        <f t="shared" si="3"/>
        <v>6</v>
      </c>
      <c r="B15" s="40">
        <v>46526</v>
      </c>
      <c r="C15" s="41">
        <v>10076.299999999999</v>
      </c>
      <c r="D15" s="42">
        <f t="shared" si="2"/>
        <v>56602.3</v>
      </c>
      <c r="E15" s="43"/>
      <c r="F15" s="43"/>
      <c r="G15" s="44"/>
      <c r="H15" s="45"/>
      <c r="I15" s="43"/>
      <c r="J15" s="46"/>
      <c r="K15" s="45"/>
      <c r="L15" s="43"/>
      <c r="M15" s="44"/>
      <c r="N15" s="47"/>
      <c r="O15" s="43"/>
      <c r="P15" s="44"/>
      <c r="Q15" s="74"/>
      <c r="R15" s="74"/>
      <c r="S15" s="74"/>
      <c r="T15" s="74"/>
      <c r="U15" s="74"/>
      <c r="V15" s="74"/>
      <c r="W15" s="39">
        <f t="shared" si="4"/>
        <v>6</v>
      </c>
      <c r="X15" s="38"/>
      <c r="Y15" s="38"/>
      <c r="Z15" s="38"/>
    </row>
    <row r="16" spans="1:26" hidden="1">
      <c r="A16" s="39">
        <f t="shared" si="3"/>
        <v>7</v>
      </c>
      <c r="B16" s="40">
        <v>46526</v>
      </c>
      <c r="C16" s="41">
        <v>9560.0499999999993</v>
      </c>
      <c r="D16" s="42">
        <f t="shared" si="2"/>
        <v>56086.05</v>
      </c>
      <c r="E16" s="43"/>
      <c r="F16" s="43"/>
      <c r="G16" s="44"/>
      <c r="H16" s="45"/>
      <c r="I16" s="43"/>
      <c r="J16" s="46"/>
      <c r="K16" s="45"/>
      <c r="L16" s="43"/>
      <c r="M16" s="44"/>
      <c r="N16" s="47"/>
      <c r="O16" s="43"/>
      <c r="P16" s="44"/>
      <c r="Q16" s="74"/>
      <c r="R16" s="74"/>
      <c r="S16" s="74"/>
      <c r="T16" s="74"/>
      <c r="U16" s="74"/>
      <c r="V16" s="74"/>
      <c r="W16" s="39">
        <f t="shared" si="4"/>
        <v>7</v>
      </c>
      <c r="X16" s="38"/>
      <c r="Y16" s="38"/>
      <c r="Z16" s="38"/>
    </row>
    <row r="17" spans="1:26" hidden="1">
      <c r="A17" s="39">
        <f t="shared" si="3"/>
        <v>8</v>
      </c>
      <c r="B17" s="40">
        <v>46526</v>
      </c>
      <c r="C17" s="41">
        <v>9681.15</v>
      </c>
      <c r="D17" s="42">
        <f t="shared" si="2"/>
        <v>56207.15</v>
      </c>
      <c r="E17" s="43"/>
      <c r="F17" s="43"/>
      <c r="G17" s="44"/>
      <c r="H17" s="45"/>
      <c r="I17" s="43"/>
      <c r="J17" s="46"/>
      <c r="K17" s="45"/>
      <c r="L17" s="43"/>
      <c r="M17" s="44"/>
      <c r="N17" s="47"/>
      <c r="O17" s="43"/>
      <c r="P17" s="44"/>
      <c r="Q17" s="74"/>
      <c r="R17" s="74"/>
      <c r="S17" s="74"/>
      <c r="T17" s="74"/>
      <c r="U17" s="74"/>
      <c r="V17" s="74"/>
      <c r="W17" s="39">
        <f t="shared" si="4"/>
        <v>8</v>
      </c>
      <c r="X17" s="38"/>
      <c r="Y17" s="38"/>
      <c r="Z17" s="38"/>
    </row>
    <row r="18" spans="1:26" hidden="1">
      <c r="A18" s="39">
        <f t="shared" si="3"/>
        <v>9</v>
      </c>
      <c r="B18" s="40">
        <v>46526</v>
      </c>
      <c r="C18" s="41">
        <v>9483.57</v>
      </c>
      <c r="D18" s="42">
        <f t="shared" si="2"/>
        <v>56009.57</v>
      </c>
      <c r="E18" s="43"/>
      <c r="F18" s="43"/>
      <c r="G18" s="44"/>
      <c r="H18" s="45"/>
      <c r="I18" s="43"/>
      <c r="J18" s="46"/>
      <c r="K18" s="45"/>
      <c r="L18" s="43"/>
      <c r="M18" s="44"/>
      <c r="N18" s="47"/>
      <c r="O18" s="43"/>
      <c r="P18" s="44"/>
      <c r="Q18" s="74"/>
      <c r="R18" s="74"/>
      <c r="S18" s="74"/>
      <c r="T18" s="74"/>
      <c r="U18" s="74"/>
      <c r="V18" s="74"/>
      <c r="W18" s="39">
        <f t="shared" si="4"/>
        <v>9</v>
      </c>
      <c r="X18" s="38"/>
      <c r="Y18" s="38"/>
      <c r="Z18" s="38"/>
    </row>
    <row r="19" spans="1:26" hidden="1">
      <c r="A19" s="39">
        <f t="shared" si="3"/>
        <v>10</v>
      </c>
      <c r="B19" s="40">
        <v>46526</v>
      </c>
      <c r="C19" s="41">
        <v>8986.4500000000007</v>
      </c>
      <c r="D19" s="42">
        <f t="shared" si="2"/>
        <v>55512.45</v>
      </c>
      <c r="E19" s="43"/>
      <c r="F19" s="43"/>
      <c r="G19" s="44"/>
      <c r="H19" s="45"/>
      <c r="I19" s="43"/>
      <c r="J19" s="46"/>
      <c r="K19" s="45"/>
      <c r="L19" s="43"/>
      <c r="M19" s="44"/>
      <c r="N19" s="47"/>
      <c r="O19" s="43"/>
      <c r="P19" s="44"/>
      <c r="Q19" s="74"/>
      <c r="R19" s="74"/>
      <c r="S19" s="74"/>
      <c r="T19" s="74"/>
      <c r="U19" s="74"/>
      <c r="V19" s="74"/>
      <c r="W19" s="39">
        <f t="shared" si="4"/>
        <v>10</v>
      </c>
      <c r="X19" s="38"/>
      <c r="Y19" s="38"/>
      <c r="Z19" s="38"/>
    </row>
    <row r="20" spans="1:26" hidden="1">
      <c r="A20" s="39">
        <f t="shared" si="3"/>
        <v>11</v>
      </c>
      <c r="B20" s="40">
        <v>46526</v>
      </c>
      <c r="C20" s="41">
        <v>9088.42</v>
      </c>
      <c r="D20" s="42">
        <f t="shared" si="2"/>
        <v>55614.42</v>
      </c>
      <c r="E20" s="43">
        <v>41920.5</v>
      </c>
      <c r="F20" s="43">
        <v>29570.93</v>
      </c>
      <c r="G20" s="44">
        <f>E20-F20</f>
        <v>12349.57</v>
      </c>
      <c r="H20" s="45">
        <v>53083.69</v>
      </c>
      <c r="I20" s="43">
        <v>37445.5</v>
      </c>
      <c r="J20" s="46">
        <f>H20-I20</f>
        <v>15638.19</v>
      </c>
      <c r="K20" s="45"/>
      <c r="L20" s="43"/>
      <c r="M20" s="44"/>
      <c r="N20" s="47"/>
      <c r="O20" s="43"/>
      <c r="P20" s="44"/>
      <c r="Q20" s="74"/>
      <c r="R20" s="74"/>
      <c r="S20" s="74"/>
      <c r="T20" s="74"/>
      <c r="U20" s="74"/>
      <c r="V20" s="74"/>
      <c r="W20" s="39">
        <f t="shared" si="4"/>
        <v>11</v>
      </c>
      <c r="X20" s="38"/>
      <c r="Y20" s="38"/>
      <c r="Z20" s="38"/>
    </row>
    <row r="21" spans="1:26" hidden="1">
      <c r="A21" s="39">
        <f t="shared" si="3"/>
        <v>12</v>
      </c>
      <c r="B21" s="40">
        <v>46526</v>
      </c>
      <c r="C21" s="41">
        <v>8604.0400000000009</v>
      </c>
      <c r="D21" s="42">
        <f t="shared" si="2"/>
        <v>55130.04</v>
      </c>
      <c r="E21" s="43">
        <v>41920.5</v>
      </c>
      <c r="F21" s="43">
        <v>29743.43</v>
      </c>
      <c r="G21" s="44">
        <f>E21-F21</f>
        <v>12177.07</v>
      </c>
      <c r="H21" s="45">
        <v>53083.69</v>
      </c>
      <c r="I21" s="43">
        <v>37663.93</v>
      </c>
      <c r="J21" s="46">
        <f t="shared" ref="J21:J103" si="5">H21-I21</f>
        <v>15419.76</v>
      </c>
      <c r="K21" s="45"/>
      <c r="L21" s="43"/>
      <c r="M21" s="44"/>
      <c r="N21" s="47"/>
      <c r="O21" s="43"/>
      <c r="P21" s="44"/>
      <c r="Q21" s="74"/>
      <c r="R21" s="74"/>
      <c r="S21" s="74"/>
      <c r="T21" s="74"/>
      <c r="U21" s="74"/>
      <c r="V21" s="74"/>
      <c r="W21" s="39">
        <f t="shared" si="4"/>
        <v>12</v>
      </c>
      <c r="X21" s="38"/>
      <c r="Y21" s="38"/>
      <c r="Z21" s="38"/>
    </row>
    <row r="22" spans="1:26" ht="11.25" hidden="1" customHeight="1">
      <c r="A22" s="48" t="s">
        <v>443</v>
      </c>
      <c r="B22" s="50">
        <f>SUM(B10:B21)</f>
        <v>558312</v>
      </c>
      <c r="C22" s="51">
        <f>SUM(C10:C21)</f>
        <v>117461.21</v>
      </c>
      <c r="D22" s="52">
        <f>SUM(D10:D21)</f>
        <v>675773.21</v>
      </c>
      <c r="E22" s="53">
        <f>SUM(E20:E21)</f>
        <v>83841</v>
      </c>
      <c r="F22" s="53">
        <f>SUM(F20:F21)</f>
        <v>59314.36</v>
      </c>
      <c r="G22" s="54">
        <f t="shared" ref="G22:G105" si="6">E22-F22</f>
        <v>24526.639999999999</v>
      </c>
      <c r="H22" s="55">
        <f>SUM(H20:H21)</f>
        <v>106167.38</v>
      </c>
      <c r="I22" s="53">
        <f>SUM(I20:I21)</f>
        <v>75109.429999999993</v>
      </c>
      <c r="J22" s="56">
        <f t="shared" si="5"/>
        <v>31057.95</v>
      </c>
      <c r="K22" s="57"/>
      <c r="L22" s="58"/>
      <c r="M22" s="54"/>
      <c r="N22" s="59"/>
      <c r="O22" s="58"/>
      <c r="P22" s="54"/>
      <c r="Q22" s="94"/>
      <c r="R22" s="94"/>
      <c r="S22" s="94"/>
      <c r="T22" s="94"/>
      <c r="U22" s="94"/>
      <c r="V22" s="94"/>
      <c r="W22" s="48" t="s">
        <v>443</v>
      </c>
      <c r="X22" s="60" t="e">
        <f>B22+F22+I22+#REF!</f>
        <v>#REF!</v>
      </c>
      <c r="Y22" s="60" t="e">
        <f>C22+G22+J22+#REF!</f>
        <v>#REF!</v>
      </c>
      <c r="Z22" s="60" t="e">
        <f>X22+Y22</f>
        <v>#REF!</v>
      </c>
    </row>
    <row r="23" spans="1:26" ht="11.4" hidden="1" customHeight="1">
      <c r="A23" s="39" t="s">
        <v>444</v>
      </c>
      <c r="B23" s="47">
        <v>46526</v>
      </c>
      <c r="C23" s="43">
        <v>8693.27</v>
      </c>
      <c r="D23" s="43">
        <f>B23+C23</f>
        <v>55219.27</v>
      </c>
      <c r="E23" s="43">
        <v>41920.5</v>
      </c>
      <c r="F23" s="43">
        <v>29916.93</v>
      </c>
      <c r="G23" s="44">
        <f t="shared" si="6"/>
        <v>12003.57</v>
      </c>
      <c r="H23" s="43">
        <v>53083.69</v>
      </c>
      <c r="I23" s="43">
        <v>37883.64</v>
      </c>
      <c r="J23" s="46">
        <f t="shared" si="5"/>
        <v>15200.05</v>
      </c>
      <c r="K23" s="45"/>
      <c r="L23" s="43"/>
      <c r="M23" s="44"/>
      <c r="N23" s="47"/>
      <c r="O23" s="43"/>
      <c r="P23" s="44"/>
      <c r="Q23" s="74"/>
      <c r="R23" s="74"/>
      <c r="S23" s="74"/>
      <c r="T23" s="74"/>
      <c r="U23" s="74"/>
      <c r="V23" s="74"/>
      <c r="W23" s="39" t="s">
        <v>444</v>
      </c>
      <c r="X23" s="60"/>
      <c r="Y23" s="60"/>
      <c r="Z23" s="60"/>
    </row>
    <row r="24" spans="1:26" ht="11.4" hidden="1" customHeight="1">
      <c r="A24" s="39">
        <v>2</v>
      </c>
      <c r="B24" s="47">
        <v>46526</v>
      </c>
      <c r="C24" s="43">
        <v>8495.69</v>
      </c>
      <c r="D24" s="43">
        <f t="shared" ref="D24:D83" si="7">B24+C24</f>
        <v>55021.69</v>
      </c>
      <c r="E24" s="43">
        <v>41920.5</v>
      </c>
      <c r="F24" s="43">
        <v>30091.45</v>
      </c>
      <c r="G24" s="44">
        <f t="shared" si="6"/>
        <v>11829.05</v>
      </c>
      <c r="H24" s="43">
        <v>53083.69</v>
      </c>
      <c r="I24" s="43">
        <v>38104.629999999997</v>
      </c>
      <c r="J24" s="46">
        <f t="shared" si="5"/>
        <v>14979.06</v>
      </c>
      <c r="K24" s="45"/>
      <c r="L24" s="43"/>
      <c r="M24" s="44"/>
      <c r="N24" s="47"/>
      <c r="O24" s="43"/>
      <c r="P24" s="44"/>
      <c r="Q24" s="74"/>
      <c r="R24" s="74"/>
      <c r="S24" s="74"/>
      <c r="T24" s="74"/>
      <c r="U24" s="74"/>
      <c r="V24" s="74"/>
      <c r="W24" s="39">
        <v>2</v>
      </c>
      <c r="X24" s="60"/>
      <c r="Y24" s="60"/>
      <c r="Z24" s="60"/>
    </row>
    <row r="25" spans="1:26" ht="11.25" hidden="1" customHeight="1">
      <c r="A25" s="39">
        <v>3</v>
      </c>
      <c r="B25" s="47">
        <v>46526</v>
      </c>
      <c r="C25" s="43">
        <v>7495.07</v>
      </c>
      <c r="D25" s="43">
        <f t="shared" si="7"/>
        <v>54021.07</v>
      </c>
      <c r="E25" s="43">
        <v>41920.5</v>
      </c>
      <c r="F25" s="43">
        <v>30266.98</v>
      </c>
      <c r="G25" s="44">
        <f t="shared" si="6"/>
        <v>11653.52</v>
      </c>
      <c r="H25" s="43">
        <v>53083.69</v>
      </c>
      <c r="I25" s="43">
        <v>38326.9</v>
      </c>
      <c r="J25" s="46">
        <f t="shared" si="5"/>
        <v>14756.79</v>
      </c>
      <c r="K25" s="45"/>
      <c r="L25" s="43"/>
      <c r="M25" s="44"/>
      <c r="N25" s="47"/>
      <c r="O25" s="43"/>
      <c r="P25" s="44"/>
      <c r="Q25" s="74"/>
      <c r="R25" s="74"/>
      <c r="S25" s="74"/>
      <c r="T25" s="74"/>
      <c r="U25" s="74"/>
      <c r="V25" s="74"/>
      <c r="W25" s="39">
        <v>3</v>
      </c>
      <c r="X25" s="60"/>
      <c r="Y25" s="60"/>
      <c r="Z25" s="60"/>
    </row>
    <row r="26" spans="1:26" ht="11.25" hidden="1" customHeight="1">
      <c r="A26" s="61" t="s">
        <v>445</v>
      </c>
      <c r="B26" s="62">
        <f t="shared" ref="B26:J26" si="8">B23+B24+B25</f>
        <v>139578</v>
      </c>
      <c r="C26" s="63">
        <f t="shared" si="8"/>
        <v>24684.03</v>
      </c>
      <c r="D26" s="63">
        <f t="shared" si="8"/>
        <v>164262.03</v>
      </c>
      <c r="E26" s="63">
        <f t="shared" si="8"/>
        <v>125761.5</v>
      </c>
      <c r="F26" s="63">
        <f t="shared" si="8"/>
        <v>90275.36</v>
      </c>
      <c r="G26" s="63">
        <f t="shared" si="8"/>
        <v>35486.14</v>
      </c>
      <c r="H26" s="63">
        <f t="shared" si="8"/>
        <v>159251.07</v>
      </c>
      <c r="I26" s="63">
        <f t="shared" si="8"/>
        <v>114315.17</v>
      </c>
      <c r="J26" s="63">
        <f t="shared" si="8"/>
        <v>44935.9</v>
      </c>
      <c r="K26" s="65"/>
      <c r="L26" s="63"/>
      <c r="M26" s="64"/>
      <c r="N26" s="62"/>
      <c r="O26" s="63"/>
      <c r="P26" s="64"/>
      <c r="Q26" s="96"/>
      <c r="R26" s="96"/>
      <c r="S26" s="96"/>
      <c r="T26" s="96"/>
      <c r="U26" s="96"/>
      <c r="V26" s="96"/>
      <c r="W26" s="61" t="s">
        <v>445</v>
      </c>
      <c r="X26" s="66">
        <f>B26+F26+I26+K26</f>
        <v>344168.53</v>
      </c>
      <c r="Y26" s="67">
        <f>C26+G26+J26+L26</f>
        <v>105106.07</v>
      </c>
      <c r="Z26" s="66">
        <f>D26+H26+E26+M26</f>
        <v>449274.6</v>
      </c>
    </row>
    <row r="27" spans="1:26" ht="11.25" hidden="1" customHeight="1">
      <c r="A27" s="39">
        <v>4</v>
      </c>
      <c r="B27" s="47">
        <v>46526</v>
      </c>
      <c r="C27" s="43">
        <v>8100.54</v>
      </c>
      <c r="D27" s="43">
        <f t="shared" si="7"/>
        <v>54626.54</v>
      </c>
      <c r="E27" s="43">
        <v>41920.5</v>
      </c>
      <c r="F27" s="43">
        <v>30443.54</v>
      </c>
      <c r="G27" s="44">
        <f t="shared" si="6"/>
        <v>11476.96</v>
      </c>
      <c r="H27" s="43">
        <v>53083.69</v>
      </c>
      <c r="I27" s="43">
        <v>38550.480000000003</v>
      </c>
      <c r="J27" s="46">
        <f t="shared" si="5"/>
        <v>14533.21</v>
      </c>
      <c r="K27" s="45"/>
      <c r="L27" s="43"/>
      <c r="M27" s="44"/>
      <c r="N27" s="47"/>
      <c r="O27" s="43"/>
      <c r="P27" s="44"/>
      <c r="Q27" s="74"/>
      <c r="R27" s="74"/>
      <c r="S27" s="74"/>
      <c r="T27" s="74"/>
      <c r="U27" s="74"/>
      <c r="V27" s="74"/>
      <c r="W27" s="39">
        <v>4</v>
      </c>
      <c r="X27" s="60"/>
      <c r="Y27" s="60"/>
      <c r="Z27" s="60"/>
    </row>
    <row r="28" spans="1:26" ht="11.25" hidden="1" customHeight="1">
      <c r="A28" s="39">
        <v>5</v>
      </c>
      <c r="B28" s="47">
        <v>46526</v>
      </c>
      <c r="C28" s="43">
        <v>7648.03</v>
      </c>
      <c r="D28" s="43">
        <f t="shared" si="7"/>
        <v>54174.03</v>
      </c>
      <c r="E28" s="43">
        <v>41920.5</v>
      </c>
      <c r="F28" s="43">
        <v>30621.13</v>
      </c>
      <c r="G28" s="44">
        <f t="shared" si="6"/>
        <v>11299.37</v>
      </c>
      <c r="H28" s="43">
        <v>53083.69</v>
      </c>
      <c r="I28" s="43">
        <v>38775.35</v>
      </c>
      <c r="J28" s="46">
        <f t="shared" si="5"/>
        <v>14308.34</v>
      </c>
      <c r="K28" s="45"/>
      <c r="L28" s="43"/>
      <c r="M28" s="44"/>
      <c r="N28" s="47"/>
      <c r="O28" s="43"/>
      <c r="P28" s="44"/>
      <c r="Q28" s="74"/>
      <c r="R28" s="74"/>
      <c r="S28" s="74"/>
      <c r="T28" s="74"/>
      <c r="U28" s="74"/>
      <c r="V28" s="74"/>
      <c r="W28" s="39">
        <v>5</v>
      </c>
      <c r="X28" s="60"/>
      <c r="Y28" s="60"/>
      <c r="Z28" s="60"/>
    </row>
    <row r="29" spans="1:26" ht="11.25" hidden="1" customHeight="1">
      <c r="A29" s="39">
        <v>6</v>
      </c>
      <c r="B29" s="47">
        <v>46526</v>
      </c>
      <c r="C29" s="43">
        <v>7705.39</v>
      </c>
      <c r="D29" s="43">
        <f t="shared" si="7"/>
        <v>54231.39</v>
      </c>
      <c r="E29" s="43">
        <v>41920.5</v>
      </c>
      <c r="F29" s="43">
        <v>30799.75</v>
      </c>
      <c r="G29" s="44">
        <f t="shared" si="6"/>
        <v>11120.75</v>
      </c>
      <c r="H29" s="43">
        <v>53083.69</v>
      </c>
      <c r="I29" s="43">
        <v>39001.54</v>
      </c>
      <c r="J29" s="46">
        <f t="shared" si="5"/>
        <v>14082.15</v>
      </c>
      <c r="K29" s="68">
        <v>45834</v>
      </c>
      <c r="L29" s="41">
        <v>11678.08</v>
      </c>
      <c r="M29" s="42">
        <f>K29+L29</f>
        <v>57512.08</v>
      </c>
      <c r="N29" s="70"/>
      <c r="O29" s="69"/>
      <c r="P29" s="42"/>
      <c r="Q29" s="72"/>
      <c r="R29" s="72"/>
      <c r="S29" s="72"/>
      <c r="T29" s="72"/>
      <c r="U29" s="72"/>
      <c r="V29" s="72"/>
      <c r="W29" s="39">
        <v>6</v>
      </c>
      <c r="X29" s="60"/>
      <c r="Y29" s="60"/>
      <c r="Z29" s="60"/>
    </row>
    <row r="30" spans="1:26" ht="11.25" hidden="1" customHeight="1">
      <c r="A30" s="61" t="s">
        <v>446</v>
      </c>
      <c r="B30" s="62">
        <f t="shared" ref="B30:M30" si="9">B27+B28+B29</f>
        <v>139578</v>
      </c>
      <c r="C30" s="63">
        <f t="shared" si="9"/>
        <v>23453.96</v>
      </c>
      <c r="D30" s="63">
        <f t="shared" si="9"/>
        <v>163031.96</v>
      </c>
      <c r="E30" s="63">
        <f t="shared" si="9"/>
        <v>125761.5</v>
      </c>
      <c r="F30" s="63">
        <f t="shared" si="9"/>
        <v>91864.42</v>
      </c>
      <c r="G30" s="63">
        <f t="shared" si="9"/>
        <v>33897.08</v>
      </c>
      <c r="H30" s="63">
        <f t="shared" si="9"/>
        <v>159251.07</v>
      </c>
      <c r="I30" s="63">
        <f t="shared" si="9"/>
        <v>116327.37</v>
      </c>
      <c r="J30" s="63">
        <f t="shared" si="9"/>
        <v>42923.7</v>
      </c>
      <c r="K30" s="65">
        <f t="shared" si="9"/>
        <v>45834</v>
      </c>
      <c r="L30" s="63">
        <f t="shared" si="9"/>
        <v>11678.08</v>
      </c>
      <c r="M30" s="64">
        <f t="shared" si="9"/>
        <v>57512.08</v>
      </c>
      <c r="N30" s="62"/>
      <c r="O30" s="63"/>
      <c r="P30" s="64"/>
      <c r="Q30" s="96"/>
      <c r="R30" s="96"/>
      <c r="S30" s="96"/>
      <c r="T30" s="96"/>
      <c r="U30" s="96"/>
      <c r="V30" s="96"/>
      <c r="W30" s="61" t="s">
        <v>446</v>
      </c>
      <c r="X30" s="66">
        <f>B30+F30+I30+K30</f>
        <v>393603.79</v>
      </c>
      <c r="Y30" s="67">
        <f>C30+G30+J30+L30</f>
        <v>111952.82</v>
      </c>
      <c r="Z30" s="66">
        <f>D30+E30+H30+M30</f>
        <v>505556.61</v>
      </c>
    </row>
    <row r="31" spans="1:26" ht="11.25" hidden="1" customHeight="1">
      <c r="A31" s="39">
        <v>7</v>
      </c>
      <c r="B31" s="47">
        <v>46526</v>
      </c>
      <c r="C31" s="43">
        <v>7265.62</v>
      </c>
      <c r="D31" s="43">
        <f t="shared" si="7"/>
        <v>53791.62</v>
      </c>
      <c r="E31" s="43">
        <v>41920.5</v>
      </c>
      <c r="F31" s="43">
        <v>30979.42</v>
      </c>
      <c r="G31" s="44">
        <f t="shared" si="6"/>
        <v>10941.08</v>
      </c>
      <c r="H31" s="43">
        <v>53083.69</v>
      </c>
      <c r="I31" s="43">
        <v>39229.050000000003</v>
      </c>
      <c r="J31" s="46">
        <f t="shared" si="5"/>
        <v>13854.64</v>
      </c>
      <c r="K31" s="68">
        <v>45834</v>
      </c>
      <c r="L31" s="41">
        <v>11113.01</v>
      </c>
      <c r="M31" s="42">
        <f t="shared" ref="M31:M113" si="10">K31+L31</f>
        <v>56947.01</v>
      </c>
      <c r="N31" s="70"/>
      <c r="O31" s="69"/>
      <c r="P31" s="42"/>
      <c r="Q31" s="72"/>
      <c r="R31" s="72"/>
      <c r="S31" s="72"/>
      <c r="T31" s="72"/>
      <c r="U31" s="72"/>
      <c r="V31" s="72"/>
      <c r="W31" s="39">
        <v>7</v>
      </c>
      <c r="X31" s="60"/>
      <c r="Y31" s="60"/>
      <c r="Z31" s="60"/>
    </row>
    <row r="32" spans="1:26" ht="11.25" hidden="1" customHeight="1">
      <c r="A32" s="39">
        <v>8</v>
      </c>
      <c r="B32" s="47">
        <v>46526</v>
      </c>
      <c r="C32" s="43">
        <v>7310.23</v>
      </c>
      <c r="D32" s="43">
        <f t="shared" si="7"/>
        <v>53836.23</v>
      </c>
      <c r="E32" s="43">
        <v>41920.5</v>
      </c>
      <c r="F32" s="43">
        <v>31160.13</v>
      </c>
      <c r="G32" s="44">
        <f t="shared" si="6"/>
        <v>10760.37</v>
      </c>
      <c r="H32" s="43">
        <v>53083.69</v>
      </c>
      <c r="I32" s="43">
        <v>39457.89</v>
      </c>
      <c r="J32" s="46">
        <f t="shared" si="5"/>
        <v>13625.8</v>
      </c>
      <c r="K32" s="68">
        <v>45834</v>
      </c>
      <c r="L32" s="41">
        <v>11288.81</v>
      </c>
      <c r="M32" s="42">
        <f t="shared" si="10"/>
        <v>57122.81</v>
      </c>
      <c r="N32" s="70"/>
      <c r="O32" s="69"/>
      <c r="P32" s="42"/>
      <c r="Q32" s="72"/>
      <c r="R32" s="72"/>
      <c r="S32" s="72"/>
      <c r="T32" s="72"/>
      <c r="U32" s="72"/>
      <c r="V32" s="72"/>
      <c r="W32" s="39">
        <v>8</v>
      </c>
      <c r="X32" s="60"/>
      <c r="Y32" s="60"/>
      <c r="Z32" s="60"/>
    </row>
    <row r="33" spans="1:26" ht="11.25" hidden="1" customHeight="1">
      <c r="A33" s="39">
        <v>9</v>
      </c>
      <c r="B33" s="47">
        <v>46526</v>
      </c>
      <c r="C33" s="43">
        <v>7112.66</v>
      </c>
      <c r="D33" s="43">
        <f t="shared" si="7"/>
        <v>53638.66</v>
      </c>
      <c r="E33" s="43">
        <v>41920.5</v>
      </c>
      <c r="F33" s="43">
        <v>31341.9</v>
      </c>
      <c r="G33" s="44">
        <f t="shared" si="6"/>
        <v>10578.6</v>
      </c>
      <c r="H33" s="43">
        <v>53083.69</v>
      </c>
      <c r="I33" s="43">
        <v>39688.06</v>
      </c>
      <c r="J33" s="46">
        <f t="shared" si="5"/>
        <v>13395.63</v>
      </c>
      <c r="K33" s="68">
        <v>45834</v>
      </c>
      <c r="L33" s="41">
        <v>11094.17</v>
      </c>
      <c r="M33" s="42">
        <f t="shared" si="10"/>
        <v>56928.17</v>
      </c>
      <c r="N33" s="70"/>
      <c r="O33" s="69"/>
      <c r="P33" s="42"/>
      <c r="Q33" s="72"/>
      <c r="R33" s="72"/>
      <c r="S33" s="72"/>
      <c r="T33" s="72"/>
      <c r="U33" s="72"/>
      <c r="V33" s="72"/>
      <c r="W33" s="39">
        <v>9</v>
      </c>
      <c r="X33" s="60"/>
      <c r="Y33" s="60"/>
      <c r="Z33" s="60"/>
    </row>
    <row r="34" spans="1:26" ht="11.25" hidden="1" customHeight="1">
      <c r="A34" s="61" t="s">
        <v>447</v>
      </c>
      <c r="B34" s="62">
        <f t="shared" ref="B34:M34" si="11">B31+B32+B33</f>
        <v>139578</v>
      </c>
      <c r="C34" s="63">
        <f t="shared" si="11"/>
        <v>21688.51</v>
      </c>
      <c r="D34" s="63">
        <f t="shared" si="11"/>
        <v>161266.51</v>
      </c>
      <c r="E34" s="63">
        <f t="shared" si="11"/>
        <v>125761.5</v>
      </c>
      <c r="F34" s="63">
        <f t="shared" si="11"/>
        <v>93481.45</v>
      </c>
      <c r="G34" s="63">
        <f t="shared" si="11"/>
        <v>32280.05</v>
      </c>
      <c r="H34" s="63">
        <f t="shared" si="11"/>
        <v>159251.07</v>
      </c>
      <c r="I34" s="63">
        <f t="shared" si="11"/>
        <v>118375</v>
      </c>
      <c r="J34" s="63">
        <f t="shared" si="11"/>
        <v>40876.07</v>
      </c>
      <c r="K34" s="65">
        <f t="shared" si="11"/>
        <v>137502</v>
      </c>
      <c r="L34" s="63">
        <f t="shared" si="11"/>
        <v>33495.99</v>
      </c>
      <c r="M34" s="64">
        <f t="shared" si="11"/>
        <v>170997.99</v>
      </c>
      <c r="N34" s="47"/>
      <c r="O34" s="43"/>
      <c r="P34" s="44"/>
      <c r="Q34" s="74"/>
      <c r="R34" s="74"/>
      <c r="S34" s="74"/>
      <c r="T34" s="74"/>
      <c r="U34" s="74"/>
      <c r="V34" s="74"/>
      <c r="W34" s="61" t="s">
        <v>447</v>
      </c>
      <c r="X34" s="66">
        <f>B34+F34+I34+K34</f>
        <v>488936.45</v>
      </c>
      <c r="Y34" s="67">
        <f>C34+G34+J34+L34</f>
        <v>128340.62</v>
      </c>
      <c r="Z34" s="66">
        <f>D34+E34+H34+M34</f>
        <v>617277.06999999995</v>
      </c>
    </row>
    <row r="35" spans="1:26" ht="11.4" hidden="1" customHeight="1">
      <c r="A35" s="39">
        <v>10</v>
      </c>
      <c r="B35" s="47">
        <v>46526</v>
      </c>
      <c r="C35" s="43">
        <v>6692.01</v>
      </c>
      <c r="D35" s="43">
        <f t="shared" si="7"/>
        <v>53218.01</v>
      </c>
      <c r="E35" s="43">
        <v>41920.5</v>
      </c>
      <c r="F35" s="43">
        <v>31524.73</v>
      </c>
      <c r="G35" s="44">
        <f t="shared" si="6"/>
        <v>10395.77</v>
      </c>
      <c r="H35" s="43">
        <v>53083.69</v>
      </c>
      <c r="I35" s="43">
        <v>39919.57</v>
      </c>
      <c r="J35" s="46">
        <f t="shared" si="5"/>
        <v>13164.12</v>
      </c>
      <c r="K35" s="68">
        <v>45834</v>
      </c>
      <c r="L35" s="41">
        <v>10547.93</v>
      </c>
      <c r="M35" s="42">
        <f t="shared" si="10"/>
        <v>56381.93</v>
      </c>
      <c r="N35" s="70"/>
      <c r="O35" s="71"/>
      <c r="P35" s="42"/>
      <c r="Q35" s="72"/>
      <c r="R35" s="72"/>
      <c r="S35" s="72"/>
      <c r="T35" s="72"/>
      <c r="U35" s="72"/>
      <c r="V35" s="72"/>
      <c r="W35" s="39">
        <v>10</v>
      </c>
      <c r="X35" s="60"/>
      <c r="Y35" s="60"/>
      <c r="Z35" s="60"/>
    </row>
    <row r="36" spans="1:26" ht="11.4" hidden="1" customHeight="1">
      <c r="A36" s="39">
        <v>11</v>
      </c>
      <c r="B36" s="47">
        <v>46526</v>
      </c>
      <c r="C36" s="43">
        <v>6717.5</v>
      </c>
      <c r="D36" s="43">
        <f t="shared" si="7"/>
        <v>53243.5</v>
      </c>
      <c r="E36" s="43">
        <v>41920.5</v>
      </c>
      <c r="F36" s="43">
        <v>31708.62</v>
      </c>
      <c r="G36" s="44">
        <f t="shared" si="6"/>
        <v>10211.879999999999</v>
      </c>
      <c r="H36" s="43">
        <v>53083.69</v>
      </c>
      <c r="I36" s="43">
        <v>40152.44</v>
      </c>
      <c r="J36" s="46">
        <f t="shared" si="5"/>
        <v>12931.25</v>
      </c>
      <c r="K36" s="68">
        <v>45834</v>
      </c>
      <c r="L36" s="41">
        <v>10704.89</v>
      </c>
      <c r="M36" s="42">
        <f t="shared" si="10"/>
        <v>56538.89</v>
      </c>
      <c r="N36" s="72"/>
      <c r="O36" s="73">
        <v>42345.21</v>
      </c>
      <c r="P36" s="72">
        <f>N36+O36</f>
        <v>42345.21</v>
      </c>
      <c r="Q36" s="72"/>
      <c r="R36" s="72"/>
      <c r="S36" s="72"/>
      <c r="T36" s="72"/>
      <c r="U36" s="72"/>
      <c r="V36" s="72"/>
      <c r="W36" s="39">
        <v>11</v>
      </c>
      <c r="X36" s="60"/>
      <c r="Y36" s="60"/>
      <c r="Z36" s="60"/>
    </row>
    <row r="37" spans="1:26" ht="11.4" hidden="1" customHeight="1">
      <c r="A37" s="39">
        <v>12</v>
      </c>
      <c r="B37" s="47">
        <v>46526</v>
      </c>
      <c r="C37" s="43">
        <v>6309.61</v>
      </c>
      <c r="D37" s="43">
        <f t="shared" si="7"/>
        <v>52835.61</v>
      </c>
      <c r="E37" s="43">
        <v>41920.5</v>
      </c>
      <c r="F37" s="43">
        <v>31893.59</v>
      </c>
      <c r="G37" s="44">
        <f t="shared" si="6"/>
        <v>10026.91</v>
      </c>
      <c r="H37" s="43">
        <v>53083.69</v>
      </c>
      <c r="I37" s="43">
        <v>40386.660000000003</v>
      </c>
      <c r="J37" s="46">
        <f t="shared" si="5"/>
        <v>12697.03</v>
      </c>
      <c r="K37" s="68">
        <v>45834</v>
      </c>
      <c r="L37" s="41">
        <v>10171.219999999999</v>
      </c>
      <c r="M37" s="42">
        <f t="shared" si="10"/>
        <v>56005.22</v>
      </c>
      <c r="N37" s="72"/>
      <c r="O37" s="73">
        <v>31758.9</v>
      </c>
      <c r="P37" s="72">
        <f t="shared" ref="P37:P118" si="12">N37+O37</f>
        <v>31758.9</v>
      </c>
      <c r="Q37" s="72"/>
      <c r="R37" s="72"/>
      <c r="S37" s="72"/>
      <c r="T37" s="72"/>
      <c r="U37" s="72"/>
      <c r="V37" s="72"/>
      <c r="W37" s="39">
        <v>12</v>
      </c>
      <c r="X37" s="60"/>
      <c r="Y37" s="60"/>
      <c r="Z37" s="60"/>
    </row>
    <row r="38" spans="1:26" ht="11.4" hidden="1" customHeight="1">
      <c r="A38" s="61" t="s">
        <v>448</v>
      </c>
      <c r="B38" s="62">
        <f t="shared" ref="B38:J38" si="13">B35+B36+B37</f>
        <v>139578</v>
      </c>
      <c r="C38" s="63">
        <f t="shared" si="13"/>
        <v>19719.12</v>
      </c>
      <c r="D38" s="63">
        <f t="shared" si="13"/>
        <v>159297.12</v>
      </c>
      <c r="E38" s="63">
        <f t="shared" si="13"/>
        <v>125761.5</v>
      </c>
      <c r="F38" s="63">
        <f t="shared" si="13"/>
        <v>95126.94</v>
      </c>
      <c r="G38" s="63">
        <f t="shared" si="13"/>
        <v>30634.560000000001</v>
      </c>
      <c r="H38" s="63">
        <f t="shared" si="13"/>
        <v>159251.07</v>
      </c>
      <c r="I38" s="63">
        <f t="shared" si="13"/>
        <v>120458.67</v>
      </c>
      <c r="J38" s="63">
        <f t="shared" si="13"/>
        <v>38792.400000000001</v>
      </c>
      <c r="K38" s="65">
        <f>K35+K36+K37</f>
        <v>137502</v>
      </c>
      <c r="L38" s="63">
        <f>L35+L36+L37</f>
        <v>31424.04</v>
      </c>
      <c r="M38" s="64">
        <f>M35+M36+M37</f>
        <v>168926.04</v>
      </c>
      <c r="N38" s="74"/>
      <c r="O38" s="75">
        <f>SUM(O36:O37)</f>
        <v>74104.11</v>
      </c>
      <c r="P38" s="76">
        <f t="shared" si="12"/>
        <v>74104.11</v>
      </c>
      <c r="Q38" s="76"/>
      <c r="R38" s="76"/>
      <c r="S38" s="76"/>
      <c r="T38" s="76"/>
      <c r="U38" s="76"/>
      <c r="V38" s="76"/>
      <c r="W38" s="61" t="s">
        <v>448</v>
      </c>
      <c r="X38" s="66">
        <f>B38+F38+I38+K38+N38</f>
        <v>492665.61</v>
      </c>
      <c r="Y38" s="67">
        <f>C38+G38+J38+L38+O38</f>
        <v>194674.23</v>
      </c>
      <c r="Z38" s="66">
        <f>D38+E38+H38+M38+P38</f>
        <v>687339.84</v>
      </c>
    </row>
    <row r="39" spans="1:26" ht="11.4" hidden="1" customHeight="1">
      <c r="A39" s="77" t="s">
        <v>449</v>
      </c>
      <c r="B39" s="59">
        <f t="shared" ref="B39:M39" si="14">B26+B30+B34+B38</f>
        <v>558312</v>
      </c>
      <c r="C39" s="58">
        <f t="shared" si="14"/>
        <v>89545.62</v>
      </c>
      <c r="D39" s="58">
        <f t="shared" si="14"/>
        <v>647857.62</v>
      </c>
      <c r="E39" s="58">
        <f t="shared" si="14"/>
        <v>503046</v>
      </c>
      <c r="F39" s="58">
        <f t="shared" si="14"/>
        <v>370748.17</v>
      </c>
      <c r="G39" s="58">
        <f t="shared" si="14"/>
        <v>132297.82999999999</v>
      </c>
      <c r="H39" s="58">
        <f t="shared" si="14"/>
        <v>637004.28</v>
      </c>
      <c r="I39" s="58">
        <f t="shared" si="14"/>
        <v>469476.21</v>
      </c>
      <c r="J39" s="58">
        <f t="shared" si="14"/>
        <v>167528.07</v>
      </c>
      <c r="K39" s="57">
        <f t="shared" si="14"/>
        <v>320838</v>
      </c>
      <c r="L39" s="58">
        <f t="shared" si="14"/>
        <v>76598.11</v>
      </c>
      <c r="M39" s="54">
        <f t="shared" si="14"/>
        <v>397436.11</v>
      </c>
      <c r="N39" s="78"/>
      <c r="O39" s="79">
        <f>O38</f>
        <v>74104.11</v>
      </c>
      <c r="P39" s="80">
        <f t="shared" si="12"/>
        <v>74104.11</v>
      </c>
      <c r="Q39" s="80"/>
      <c r="R39" s="80"/>
      <c r="S39" s="80"/>
      <c r="T39" s="80"/>
      <c r="U39" s="80"/>
      <c r="V39" s="80"/>
      <c r="W39" s="77" t="s">
        <v>449</v>
      </c>
      <c r="X39" s="66">
        <f>B39+F39+I39+K39+N39</f>
        <v>1719374.38</v>
      </c>
      <c r="Y39" s="66">
        <f>C39+G39+J39+L39+O39</f>
        <v>540073.74</v>
      </c>
      <c r="Z39" s="66">
        <f>D39+E39+H39+M39+P39</f>
        <v>2259448.12</v>
      </c>
    </row>
    <row r="40" spans="1:26" ht="11.4" hidden="1" customHeight="1">
      <c r="A40" s="39" t="s">
        <v>450</v>
      </c>
      <c r="B40" s="47">
        <v>46526</v>
      </c>
      <c r="C40" s="43">
        <v>6322.35</v>
      </c>
      <c r="D40" s="43">
        <f t="shared" si="7"/>
        <v>52848.35</v>
      </c>
      <c r="E40" s="43">
        <v>41920.5</v>
      </c>
      <c r="F40" s="43">
        <v>32079.63</v>
      </c>
      <c r="G40" s="44">
        <f t="shared" si="6"/>
        <v>9840.8700000000008</v>
      </c>
      <c r="H40" s="43">
        <v>53083.69</v>
      </c>
      <c r="I40" s="43">
        <v>40622.25</v>
      </c>
      <c r="J40" s="46">
        <f t="shared" si="5"/>
        <v>12461.44</v>
      </c>
      <c r="K40" s="68">
        <v>45834</v>
      </c>
      <c r="L40" s="41">
        <v>10315.620000000001</v>
      </c>
      <c r="M40" s="42">
        <f t="shared" si="10"/>
        <v>56149.62</v>
      </c>
      <c r="N40" s="72"/>
      <c r="O40" s="73">
        <v>32817.53</v>
      </c>
      <c r="P40" s="72">
        <f t="shared" si="12"/>
        <v>32817.53</v>
      </c>
      <c r="Q40" s="72"/>
      <c r="R40" s="72"/>
      <c r="S40" s="72"/>
      <c r="T40" s="72"/>
      <c r="U40" s="72"/>
      <c r="V40" s="72"/>
      <c r="W40" s="39" t="s">
        <v>450</v>
      </c>
      <c r="X40" s="66"/>
      <c r="Y40" s="66"/>
      <c r="Z40" s="66"/>
    </row>
    <row r="41" spans="1:26" ht="11.4" hidden="1" customHeight="1">
      <c r="A41" s="39">
        <v>2</v>
      </c>
      <c r="B41" s="47">
        <v>46526</v>
      </c>
      <c r="C41" s="43">
        <v>6124.78</v>
      </c>
      <c r="D41" s="43">
        <f t="shared" si="7"/>
        <v>52650.78</v>
      </c>
      <c r="E41" s="43">
        <v>41920.5</v>
      </c>
      <c r="F41" s="43">
        <v>32266.76</v>
      </c>
      <c r="G41" s="44">
        <f t="shared" si="6"/>
        <v>9653.74</v>
      </c>
      <c r="H41" s="43">
        <v>53083.69</v>
      </c>
      <c r="I41" s="43">
        <v>40859.21</v>
      </c>
      <c r="J41" s="46">
        <f t="shared" si="5"/>
        <v>12224.48</v>
      </c>
      <c r="K41" s="68">
        <v>45834</v>
      </c>
      <c r="L41" s="41">
        <v>10120.98</v>
      </c>
      <c r="M41" s="42">
        <f t="shared" si="10"/>
        <v>55954.98</v>
      </c>
      <c r="N41" s="72"/>
      <c r="O41" s="73">
        <v>32817.53</v>
      </c>
      <c r="P41" s="72">
        <f t="shared" si="12"/>
        <v>32817.53</v>
      </c>
      <c r="Q41" s="72"/>
      <c r="R41" s="72"/>
      <c r="S41" s="72"/>
      <c r="T41" s="72"/>
      <c r="U41" s="72"/>
      <c r="V41" s="72"/>
      <c r="W41" s="39">
        <v>2</v>
      </c>
      <c r="X41" s="66"/>
      <c r="Y41" s="66"/>
      <c r="Z41" s="66"/>
    </row>
    <row r="42" spans="1:26" ht="11.4" hidden="1" customHeight="1">
      <c r="A42" s="39">
        <v>3</v>
      </c>
      <c r="B42" s="47">
        <v>46526</v>
      </c>
      <c r="C42" s="43">
        <v>5544.8</v>
      </c>
      <c r="D42" s="43">
        <f t="shared" si="7"/>
        <v>52070.8</v>
      </c>
      <c r="E42" s="43">
        <v>41920.5</v>
      </c>
      <c r="F42" s="43">
        <v>32454.99</v>
      </c>
      <c r="G42" s="44">
        <f t="shared" si="6"/>
        <v>9465.51</v>
      </c>
      <c r="H42" s="43">
        <v>53083.69</v>
      </c>
      <c r="I42" s="43">
        <v>41097.56</v>
      </c>
      <c r="J42" s="46">
        <f t="shared" si="5"/>
        <v>11986.13</v>
      </c>
      <c r="K42" s="68">
        <v>45834</v>
      </c>
      <c r="L42" s="41">
        <v>9285.94</v>
      </c>
      <c r="M42" s="42">
        <f t="shared" si="10"/>
        <v>55119.94</v>
      </c>
      <c r="N42" s="72"/>
      <c r="O42" s="73">
        <v>30700.27</v>
      </c>
      <c r="P42" s="72">
        <f t="shared" si="12"/>
        <v>30700.27</v>
      </c>
      <c r="Q42" s="72"/>
      <c r="R42" s="72"/>
      <c r="S42" s="72"/>
      <c r="T42" s="72"/>
      <c r="U42" s="72"/>
      <c r="V42" s="72"/>
      <c r="W42" s="39">
        <v>3</v>
      </c>
      <c r="X42" s="66"/>
      <c r="Y42" s="66"/>
      <c r="Z42" s="66"/>
    </row>
    <row r="43" spans="1:26" ht="11.4" hidden="1" customHeight="1">
      <c r="A43" s="39"/>
      <c r="B43" s="62">
        <f>SUM(B40:B42)</f>
        <v>139578</v>
      </c>
      <c r="C43" s="62">
        <f t="shared" ref="C43:P43" si="15">SUM(C40:C42)</f>
        <v>17991.93</v>
      </c>
      <c r="D43" s="62">
        <f t="shared" si="15"/>
        <v>157569.93</v>
      </c>
      <c r="E43" s="62">
        <f t="shared" si="15"/>
        <v>125761.5</v>
      </c>
      <c r="F43" s="62">
        <f t="shared" si="15"/>
        <v>96801.38</v>
      </c>
      <c r="G43" s="62">
        <f t="shared" si="15"/>
        <v>28960.12</v>
      </c>
      <c r="H43" s="62">
        <f t="shared" si="15"/>
        <v>159251.07</v>
      </c>
      <c r="I43" s="62">
        <f t="shared" si="15"/>
        <v>122579.02</v>
      </c>
      <c r="J43" s="62">
        <f t="shared" si="15"/>
        <v>36672.050000000003</v>
      </c>
      <c r="K43" s="62">
        <f t="shared" si="15"/>
        <v>137502</v>
      </c>
      <c r="L43" s="62">
        <f t="shared" si="15"/>
        <v>29722.54</v>
      </c>
      <c r="M43" s="62">
        <f t="shared" si="15"/>
        <v>167224.54</v>
      </c>
      <c r="N43" s="62">
        <f t="shared" si="15"/>
        <v>0</v>
      </c>
      <c r="O43" s="62">
        <f t="shared" si="15"/>
        <v>96335.33</v>
      </c>
      <c r="P43" s="62">
        <f t="shared" si="15"/>
        <v>96335.33</v>
      </c>
      <c r="Q43" s="96"/>
      <c r="R43" s="96"/>
      <c r="S43" s="96"/>
      <c r="T43" s="96"/>
      <c r="U43" s="96"/>
      <c r="V43" s="96"/>
      <c r="W43" s="61" t="s">
        <v>445</v>
      </c>
      <c r="X43" s="66">
        <f>B43+F43+I43+K43+N43</f>
        <v>496460.4</v>
      </c>
      <c r="Y43" s="67">
        <f>C43+G43+J43+L43+O43</f>
        <v>209681.97</v>
      </c>
      <c r="Z43" s="66">
        <f>D43+E43+H43+M43+P43</f>
        <v>706142.37</v>
      </c>
    </row>
    <row r="44" spans="1:26" ht="11.4" hidden="1" customHeight="1">
      <c r="A44" s="39">
        <v>4</v>
      </c>
      <c r="B44" s="47">
        <v>46526</v>
      </c>
      <c r="C44" s="43">
        <v>5729.62</v>
      </c>
      <c r="D44" s="43">
        <f t="shared" si="7"/>
        <v>52255.62</v>
      </c>
      <c r="E44" s="43">
        <v>41920.5</v>
      </c>
      <c r="F44" s="43">
        <v>32644.31</v>
      </c>
      <c r="G44" s="44">
        <f t="shared" si="6"/>
        <v>9276.19</v>
      </c>
      <c r="H44" s="43">
        <v>53083.69</v>
      </c>
      <c r="I44" s="43">
        <v>41337.29</v>
      </c>
      <c r="J44" s="46">
        <f t="shared" si="5"/>
        <v>11746.4</v>
      </c>
      <c r="K44" s="68">
        <v>45834</v>
      </c>
      <c r="L44" s="41">
        <v>9731.7099999999991</v>
      </c>
      <c r="M44" s="42">
        <f t="shared" si="10"/>
        <v>55565.71</v>
      </c>
      <c r="N44" s="72"/>
      <c r="O44" s="73">
        <v>32817.53</v>
      </c>
      <c r="P44" s="72">
        <f t="shared" si="12"/>
        <v>32817.53</v>
      </c>
      <c r="Q44" s="72">
        <f>R44+S44</f>
        <v>38164.879999999997</v>
      </c>
      <c r="R44" s="72">
        <v>23196.18</v>
      </c>
      <c r="S44" s="72">
        <v>14968.7</v>
      </c>
      <c r="T44" s="72"/>
      <c r="U44" s="72"/>
      <c r="V44" s="72"/>
      <c r="W44" s="39">
        <v>4</v>
      </c>
      <c r="X44" s="66"/>
      <c r="Y44" s="66"/>
      <c r="Z44" s="66"/>
    </row>
    <row r="45" spans="1:26" ht="11.4" hidden="1" customHeight="1">
      <c r="A45" s="39">
        <v>5</v>
      </c>
      <c r="B45" s="47">
        <v>46526</v>
      </c>
      <c r="C45" s="43">
        <v>5353.69</v>
      </c>
      <c r="D45" s="43">
        <f t="shared" si="7"/>
        <v>51879.69</v>
      </c>
      <c r="E45" s="43">
        <v>41920.5</v>
      </c>
      <c r="F45" s="43">
        <v>32834.730000000003</v>
      </c>
      <c r="G45" s="44">
        <f t="shared" si="6"/>
        <v>9085.77</v>
      </c>
      <c r="H45" s="43">
        <v>53083.69</v>
      </c>
      <c r="I45" s="43">
        <v>41578.43</v>
      </c>
      <c r="J45" s="46">
        <f t="shared" si="5"/>
        <v>11505.26</v>
      </c>
      <c r="K45" s="68">
        <v>45834</v>
      </c>
      <c r="L45" s="41">
        <v>9229.42</v>
      </c>
      <c r="M45" s="42">
        <f t="shared" si="10"/>
        <v>55063.42</v>
      </c>
      <c r="N45" s="72">
        <v>102223</v>
      </c>
      <c r="O45" s="73">
        <v>31758.9</v>
      </c>
      <c r="P45" s="72">
        <f t="shared" si="12"/>
        <v>133981.9</v>
      </c>
      <c r="Q45" s="72">
        <f t="shared" ref="Q45:Q46" si="16">R45+S45</f>
        <v>38164.879999999997</v>
      </c>
      <c r="R45" s="72">
        <v>23389.48</v>
      </c>
      <c r="S45" s="72">
        <v>14775.4</v>
      </c>
      <c r="T45" s="72"/>
      <c r="U45" s="72"/>
      <c r="V45" s="72"/>
      <c r="W45" s="39">
        <v>5</v>
      </c>
      <c r="X45" s="66"/>
      <c r="Y45" s="66"/>
      <c r="Z45" s="66"/>
    </row>
    <row r="46" spans="1:26" ht="11.4" hidden="1" customHeight="1">
      <c r="A46" s="39">
        <v>6</v>
      </c>
      <c r="B46" s="47">
        <v>46526</v>
      </c>
      <c r="C46" s="43">
        <v>5334.47</v>
      </c>
      <c r="D46" s="43">
        <f t="shared" si="7"/>
        <v>51860.47</v>
      </c>
      <c r="E46" s="43">
        <v>41920.5</v>
      </c>
      <c r="F46" s="43">
        <v>33026.269999999997</v>
      </c>
      <c r="G46" s="44">
        <f t="shared" si="6"/>
        <v>8894.23</v>
      </c>
      <c r="H46" s="43">
        <v>53083.69</v>
      </c>
      <c r="I46" s="43">
        <v>41820.97</v>
      </c>
      <c r="J46" s="46">
        <f t="shared" si="5"/>
        <v>11262.72</v>
      </c>
      <c r="K46" s="68">
        <v>45834</v>
      </c>
      <c r="L46" s="41">
        <v>9342.43</v>
      </c>
      <c r="M46" s="42">
        <f t="shared" si="10"/>
        <v>55176.43</v>
      </c>
      <c r="N46" s="72">
        <v>102223</v>
      </c>
      <c r="O46" s="73">
        <v>32209.8</v>
      </c>
      <c r="P46" s="72">
        <f t="shared" si="12"/>
        <v>134432.79999999999</v>
      </c>
      <c r="Q46" s="72">
        <f t="shared" si="16"/>
        <v>38164.879999999997</v>
      </c>
      <c r="R46" s="72">
        <v>23584.39</v>
      </c>
      <c r="S46" s="72">
        <v>14580.49</v>
      </c>
      <c r="T46" s="72"/>
      <c r="U46" s="72"/>
      <c r="V46" s="72"/>
      <c r="W46" s="39">
        <v>6</v>
      </c>
      <c r="X46" s="66"/>
      <c r="Y46" s="66"/>
      <c r="Z46" s="66"/>
    </row>
    <row r="47" spans="1:26" ht="11.4" hidden="1" customHeight="1">
      <c r="A47" s="39"/>
      <c r="B47" s="62">
        <f>SUM(B44:B46)</f>
        <v>139578</v>
      </c>
      <c r="C47" s="62">
        <f t="shared" ref="C47:S47" si="17">SUM(C44:C46)</f>
        <v>16417.78</v>
      </c>
      <c r="D47" s="62">
        <f t="shared" si="17"/>
        <v>155995.78</v>
      </c>
      <c r="E47" s="62">
        <f t="shared" si="17"/>
        <v>125761.5</v>
      </c>
      <c r="F47" s="62">
        <f t="shared" si="17"/>
        <v>98505.31</v>
      </c>
      <c r="G47" s="62">
        <f t="shared" si="17"/>
        <v>27256.19</v>
      </c>
      <c r="H47" s="62">
        <f t="shared" si="17"/>
        <v>159251.07</v>
      </c>
      <c r="I47" s="62">
        <f t="shared" si="17"/>
        <v>124736.69</v>
      </c>
      <c r="J47" s="62">
        <f t="shared" si="17"/>
        <v>34514.379999999997</v>
      </c>
      <c r="K47" s="62">
        <f t="shared" si="17"/>
        <v>137502</v>
      </c>
      <c r="L47" s="62">
        <f t="shared" si="17"/>
        <v>28303.56</v>
      </c>
      <c r="M47" s="62">
        <f t="shared" si="17"/>
        <v>165805.56</v>
      </c>
      <c r="N47" s="62">
        <f t="shared" si="17"/>
        <v>204446</v>
      </c>
      <c r="O47" s="62">
        <f t="shared" si="17"/>
        <v>96786.23</v>
      </c>
      <c r="P47" s="62">
        <f t="shared" si="17"/>
        <v>301232.23</v>
      </c>
      <c r="Q47" s="62">
        <f t="shared" si="17"/>
        <v>114494.64</v>
      </c>
      <c r="R47" s="62">
        <f t="shared" si="17"/>
        <v>70170.05</v>
      </c>
      <c r="S47" s="62">
        <f t="shared" si="17"/>
        <v>44324.59</v>
      </c>
      <c r="T47" s="96"/>
      <c r="U47" s="96"/>
      <c r="V47" s="96"/>
      <c r="W47" s="61" t="s">
        <v>446</v>
      </c>
      <c r="X47" s="66">
        <f>B47+F47+I47+K47+N47+R47</f>
        <v>774938.05</v>
      </c>
      <c r="Y47" s="67">
        <f>C47+G47+J47+L47+O47+S47</f>
        <v>247602.73</v>
      </c>
      <c r="Z47" s="66">
        <f>D47+E47+H47+M47+P47+Q47</f>
        <v>1022540.78</v>
      </c>
    </row>
    <row r="48" spans="1:26" ht="11.4" hidden="1" customHeight="1">
      <c r="A48" s="39">
        <v>7</v>
      </c>
      <c r="B48" s="47">
        <v>46526</v>
      </c>
      <c r="C48" s="43">
        <v>4971.1899999999996</v>
      </c>
      <c r="D48" s="43">
        <f t="shared" si="7"/>
        <v>51497.19</v>
      </c>
      <c r="E48" s="43">
        <v>41920.5</v>
      </c>
      <c r="F48" s="43">
        <v>33218.92</v>
      </c>
      <c r="G48" s="44">
        <f t="shared" si="6"/>
        <v>8701.58</v>
      </c>
      <c r="H48" s="43">
        <v>53083.69</v>
      </c>
      <c r="I48" s="43">
        <v>42064.92</v>
      </c>
      <c r="J48" s="46">
        <f t="shared" si="5"/>
        <v>11018.77</v>
      </c>
      <c r="K48" s="68">
        <v>45834</v>
      </c>
      <c r="L48" s="41">
        <v>8852.7000000000007</v>
      </c>
      <c r="M48" s="42">
        <f t="shared" si="10"/>
        <v>54686.7</v>
      </c>
      <c r="N48" s="72">
        <v>102223</v>
      </c>
      <c r="O48" s="73">
        <v>30582.639999999999</v>
      </c>
      <c r="P48" s="72">
        <f t="shared" si="12"/>
        <v>132805.64000000001</v>
      </c>
      <c r="Q48" s="72">
        <f>R48+S48</f>
        <v>38164.879999999997</v>
      </c>
      <c r="R48" s="72">
        <v>23780.93</v>
      </c>
      <c r="S48" s="72">
        <v>14383.95</v>
      </c>
      <c r="T48" s="72"/>
      <c r="U48" s="72"/>
      <c r="V48" s="72"/>
      <c r="W48" s="39">
        <v>7</v>
      </c>
      <c r="X48" s="66"/>
      <c r="Y48" s="66"/>
      <c r="Z48" s="66"/>
    </row>
    <row r="49" spans="1:29" ht="11.4" hidden="1" customHeight="1">
      <c r="A49" s="39">
        <v>8</v>
      </c>
      <c r="B49" s="47">
        <v>46526</v>
      </c>
      <c r="C49" s="43">
        <v>4939.32</v>
      </c>
      <c r="D49" s="43">
        <f t="shared" si="7"/>
        <v>51465.32</v>
      </c>
      <c r="E49" s="43">
        <v>41920.5</v>
      </c>
      <c r="F49" s="43">
        <v>33412.699999999997</v>
      </c>
      <c r="G49" s="44">
        <f t="shared" si="6"/>
        <v>8507.7999999999993</v>
      </c>
      <c r="H49" s="43">
        <v>53083.69</v>
      </c>
      <c r="I49" s="43">
        <v>42310.3</v>
      </c>
      <c r="J49" s="46">
        <f t="shared" si="5"/>
        <v>10773.39</v>
      </c>
      <c r="K49" s="68">
        <v>45834</v>
      </c>
      <c r="L49" s="41">
        <v>8953.16</v>
      </c>
      <c r="M49" s="42">
        <f t="shared" si="10"/>
        <v>54787.16</v>
      </c>
      <c r="N49" s="72">
        <v>102223</v>
      </c>
      <c r="O49" s="73">
        <v>30994.32</v>
      </c>
      <c r="P49" s="72">
        <f t="shared" si="12"/>
        <v>133217.32</v>
      </c>
      <c r="Q49" s="72">
        <f t="shared" ref="Q49:Q50" si="18">R49+S49</f>
        <v>38164.879999999997</v>
      </c>
      <c r="R49" s="72">
        <v>23979.1</v>
      </c>
      <c r="S49" s="72">
        <v>14185.78</v>
      </c>
      <c r="T49" s="72"/>
      <c r="U49" s="72"/>
      <c r="V49" s="72"/>
      <c r="W49" s="39">
        <v>8</v>
      </c>
      <c r="X49" s="66"/>
      <c r="Y49" s="66"/>
      <c r="Z49" s="66"/>
    </row>
    <row r="50" spans="1:29" ht="11.4" hidden="1" customHeight="1">
      <c r="A50" s="39">
        <v>9</v>
      </c>
      <c r="B50" s="47">
        <v>46526</v>
      </c>
      <c r="C50" s="43">
        <v>4741.74</v>
      </c>
      <c r="D50" s="43">
        <f t="shared" si="7"/>
        <v>51267.74</v>
      </c>
      <c r="E50" s="43">
        <v>41920.5</v>
      </c>
      <c r="F50" s="43">
        <v>33607.61</v>
      </c>
      <c r="G50" s="44">
        <f t="shared" si="6"/>
        <v>8312.89</v>
      </c>
      <c r="H50" s="43">
        <v>53083.69</v>
      </c>
      <c r="I50" s="43">
        <v>42557.11</v>
      </c>
      <c r="J50" s="46">
        <f t="shared" si="5"/>
        <v>10526.58</v>
      </c>
      <c r="K50" s="68">
        <v>45834</v>
      </c>
      <c r="L50" s="41">
        <v>8758.52</v>
      </c>
      <c r="M50" s="42">
        <f t="shared" si="10"/>
        <v>54592.52</v>
      </c>
      <c r="N50" s="72">
        <v>102223</v>
      </c>
      <c r="O50" s="73">
        <v>30386.59</v>
      </c>
      <c r="P50" s="72">
        <f t="shared" si="12"/>
        <v>132609.59</v>
      </c>
      <c r="Q50" s="72">
        <f t="shared" si="18"/>
        <v>38164.879999999997</v>
      </c>
      <c r="R50" s="72">
        <v>24178.93</v>
      </c>
      <c r="S50" s="72">
        <v>13985.95</v>
      </c>
      <c r="T50" s="72"/>
      <c r="U50" s="72"/>
      <c r="V50" s="72"/>
      <c r="W50" s="39">
        <v>9</v>
      </c>
      <c r="X50" s="66"/>
      <c r="Y50" s="66"/>
      <c r="Z50" s="66"/>
    </row>
    <row r="51" spans="1:29" ht="11.4" hidden="1" customHeight="1">
      <c r="A51" s="39"/>
      <c r="B51" s="62">
        <f>SUM(B48:B50)</f>
        <v>139578</v>
      </c>
      <c r="C51" s="62">
        <f t="shared" ref="C51:S51" si="19">SUM(C48:C50)</f>
        <v>14652.25</v>
      </c>
      <c r="D51" s="62">
        <f t="shared" si="19"/>
        <v>154230.25</v>
      </c>
      <c r="E51" s="62">
        <f t="shared" si="19"/>
        <v>125761.5</v>
      </c>
      <c r="F51" s="62">
        <f t="shared" si="19"/>
        <v>100239.23</v>
      </c>
      <c r="G51" s="62">
        <f t="shared" si="19"/>
        <v>25522.27</v>
      </c>
      <c r="H51" s="62">
        <f t="shared" si="19"/>
        <v>159251.07</v>
      </c>
      <c r="I51" s="62">
        <f t="shared" si="19"/>
        <v>126932.33</v>
      </c>
      <c r="J51" s="62">
        <f t="shared" si="19"/>
        <v>32318.74</v>
      </c>
      <c r="K51" s="62">
        <f t="shared" si="19"/>
        <v>137502</v>
      </c>
      <c r="L51" s="62">
        <f t="shared" si="19"/>
        <v>26564.38</v>
      </c>
      <c r="M51" s="62">
        <f t="shared" si="19"/>
        <v>164066.38</v>
      </c>
      <c r="N51" s="62">
        <f t="shared" si="19"/>
        <v>306669</v>
      </c>
      <c r="O51" s="62">
        <f t="shared" si="19"/>
        <v>91963.55</v>
      </c>
      <c r="P51" s="62">
        <f t="shared" si="19"/>
        <v>398632.55</v>
      </c>
      <c r="Q51" s="62">
        <f t="shared" si="19"/>
        <v>114494.64</v>
      </c>
      <c r="R51" s="62">
        <f t="shared" si="19"/>
        <v>71938.960000000006</v>
      </c>
      <c r="S51" s="62">
        <f t="shared" si="19"/>
        <v>42555.68</v>
      </c>
      <c r="T51" s="96"/>
      <c r="U51" s="96"/>
      <c r="V51" s="96"/>
      <c r="W51" s="61" t="s">
        <v>447</v>
      </c>
      <c r="X51" s="66">
        <f>B51+F51+I51+K51+N51+R51</f>
        <v>882859.52000000002</v>
      </c>
      <c r="Y51" s="67">
        <f>C51+G51+J51+L51+O51+S51</f>
        <v>233576.87</v>
      </c>
      <c r="Z51" s="66">
        <f>D51+E51+H51+M51+P51+Q51</f>
        <v>1116436.3899999999</v>
      </c>
    </row>
    <row r="52" spans="1:29" ht="11.4" hidden="1" customHeight="1">
      <c r="A52" s="39">
        <v>10</v>
      </c>
      <c r="B52" s="47">
        <v>46526</v>
      </c>
      <c r="C52" s="43">
        <v>4397.58</v>
      </c>
      <c r="D52" s="43">
        <f t="shared" si="7"/>
        <v>50923.58</v>
      </c>
      <c r="E52" s="43">
        <v>41920.5</v>
      </c>
      <c r="F52" s="43">
        <v>33803.65</v>
      </c>
      <c r="G52" s="44">
        <f t="shared" si="6"/>
        <v>8116.85</v>
      </c>
      <c r="H52" s="43">
        <v>53083.69</v>
      </c>
      <c r="I52" s="43">
        <v>42805.36</v>
      </c>
      <c r="J52" s="46">
        <f t="shared" si="5"/>
        <v>10278.33</v>
      </c>
      <c r="K52" s="68">
        <v>45834</v>
      </c>
      <c r="L52" s="41">
        <v>8287.6299999999992</v>
      </c>
      <c r="M52" s="42">
        <f t="shared" si="10"/>
        <v>54121.63</v>
      </c>
      <c r="N52" s="72">
        <v>102223</v>
      </c>
      <c r="O52" s="73">
        <v>28818.240000000002</v>
      </c>
      <c r="P52" s="72">
        <f t="shared" si="12"/>
        <v>131041.24</v>
      </c>
      <c r="Q52" s="72">
        <f>R52+S52</f>
        <v>38164.879999999997</v>
      </c>
      <c r="R52" s="72">
        <v>24380.42</v>
      </c>
      <c r="S52" s="72">
        <v>13784.46</v>
      </c>
      <c r="T52" s="72"/>
      <c r="U52" s="72"/>
      <c r="V52" s="72"/>
      <c r="W52" s="39">
        <v>10</v>
      </c>
      <c r="X52" s="66"/>
      <c r="Y52" s="66"/>
      <c r="Z52" s="66"/>
    </row>
    <row r="53" spans="1:29" ht="11.4" hidden="1" customHeight="1">
      <c r="A53" s="39">
        <v>11</v>
      </c>
      <c r="B53" s="47">
        <v>46526</v>
      </c>
      <c r="C53" s="43">
        <v>4346.59</v>
      </c>
      <c r="D53" s="43">
        <f t="shared" si="7"/>
        <v>50872.59</v>
      </c>
      <c r="E53" s="43">
        <v>41920.5</v>
      </c>
      <c r="F53" s="43">
        <v>34000.839999999997</v>
      </c>
      <c r="G53" s="44">
        <f t="shared" si="6"/>
        <v>7919.66</v>
      </c>
      <c r="H53" s="43">
        <v>53083.69</v>
      </c>
      <c r="I53" s="43">
        <v>43055.06</v>
      </c>
      <c r="J53" s="46">
        <f t="shared" si="5"/>
        <v>10028.629999999999</v>
      </c>
      <c r="K53" s="68">
        <v>45834</v>
      </c>
      <c r="L53" s="41">
        <v>8369.24</v>
      </c>
      <c r="M53" s="42">
        <f t="shared" si="10"/>
        <v>54203.24</v>
      </c>
      <c r="N53" s="72">
        <v>102223</v>
      </c>
      <c r="O53" s="73">
        <v>29171.11</v>
      </c>
      <c r="P53" s="72">
        <f t="shared" si="12"/>
        <v>131394.10999999999</v>
      </c>
      <c r="Q53" s="72">
        <f>R53+S53</f>
        <v>38164.879999999997</v>
      </c>
      <c r="R53" s="72">
        <v>24583.59</v>
      </c>
      <c r="S53" s="72">
        <v>13581.29</v>
      </c>
      <c r="T53" s="72"/>
      <c r="U53" s="72"/>
      <c r="V53" s="72"/>
      <c r="W53" s="39">
        <v>11</v>
      </c>
      <c r="X53" s="66"/>
      <c r="Y53" s="66"/>
      <c r="Z53" s="66"/>
    </row>
    <row r="54" spans="1:29" ht="11.4" hidden="1" customHeight="1">
      <c r="A54" s="39">
        <v>12</v>
      </c>
      <c r="B54" s="47">
        <v>46526</v>
      </c>
      <c r="C54" s="43">
        <v>4015.18</v>
      </c>
      <c r="D54" s="43">
        <f t="shared" si="7"/>
        <v>50541.18</v>
      </c>
      <c r="E54" s="43">
        <v>41920.5</v>
      </c>
      <c r="F54" s="43">
        <v>34199.18</v>
      </c>
      <c r="G54" s="44">
        <f t="shared" si="6"/>
        <v>7721.32</v>
      </c>
      <c r="H54" s="43">
        <v>53083.69</v>
      </c>
      <c r="I54" s="43">
        <v>43306.22</v>
      </c>
      <c r="J54" s="46">
        <f t="shared" si="5"/>
        <v>9777.4699999999993</v>
      </c>
      <c r="K54" s="68">
        <v>45834</v>
      </c>
      <c r="L54" s="41">
        <v>7910.91</v>
      </c>
      <c r="M54" s="42">
        <f t="shared" si="10"/>
        <v>53744.91</v>
      </c>
      <c r="N54" s="72">
        <v>102223</v>
      </c>
      <c r="O54" s="73">
        <v>27641.98</v>
      </c>
      <c r="P54" s="72">
        <f t="shared" si="12"/>
        <v>129864.98</v>
      </c>
      <c r="Q54" s="72">
        <f>R54+S54</f>
        <v>38164.879999999997</v>
      </c>
      <c r="R54" s="72">
        <v>24788.46</v>
      </c>
      <c r="S54" s="72">
        <v>13376.42</v>
      </c>
      <c r="T54" s="72"/>
      <c r="U54" s="72"/>
      <c r="V54" s="72"/>
      <c r="W54" s="39">
        <v>12</v>
      </c>
      <c r="X54" s="66"/>
      <c r="Y54" s="66"/>
      <c r="Z54" s="66"/>
    </row>
    <row r="55" spans="1:29" ht="11.4" hidden="1" customHeight="1">
      <c r="A55" s="39"/>
      <c r="B55" s="62">
        <f>SUM(B52:B54)</f>
        <v>139578</v>
      </c>
      <c r="C55" s="62">
        <f t="shared" ref="C55:S55" si="20">SUM(C52:C54)</f>
        <v>12759.35</v>
      </c>
      <c r="D55" s="62">
        <f t="shared" si="20"/>
        <v>152337.35</v>
      </c>
      <c r="E55" s="62">
        <f t="shared" si="20"/>
        <v>125761.5</v>
      </c>
      <c r="F55" s="62">
        <f t="shared" si="20"/>
        <v>102003.67</v>
      </c>
      <c r="G55" s="62">
        <f t="shared" si="20"/>
        <v>23757.83</v>
      </c>
      <c r="H55" s="62">
        <f t="shared" si="20"/>
        <v>159251.07</v>
      </c>
      <c r="I55" s="62">
        <f t="shared" si="20"/>
        <v>129166.64</v>
      </c>
      <c r="J55" s="62">
        <f t="shared" si="20"/>
        <v>30084.43</v>
      </c>
      <c r="K55" s="62">
        <f t="shared" si="20"/>
        <v>137502</v>
      </c>
      <c r="L55" s="62">
        <f t="shared" si="20"/>
        <v>24567.78</v>
      </c>
      <c r="M55" s="62">
        <f t="shared" si="20"/>
        <v>162069.78</v>
      </c>
      <c r="N55" s="62">
        <f t="shared" si="20"/>
        <v>306669</v>
      </c>
      <c r="O55" s="62">
        <f t="shared" si="20"/>
        <v>85631.33</v>
      </c>
      <c r="P55" s="62">
        <f t="shared" si="20"/>
        <v>392300.33</v>
      </c>
      <c r="Q55" s="62">
        <f t="shared" si="20"/>
        <v>114494.64</v>
      </c>
      <c r="R55" s="62">
        <f t="shared" si="20"/>
        <v>73752.47</v>
      </c>
      <c r="S55" s="62">
        <f t="shared" si="20"/>
        <v>40742.17</v>
      </c>
      <c r="T55" s="62"/>
      <c r="U55" s="62"/>
      <c r="V55" s="62"/>
      <c r="W55" s="61" t="s">
        <v>448</v>
      </c>
      <c r="X55" s="66">
        <f>B55+F55+I55+K55+N55+R55</f>
        <v>888671.78</v>
      </c>
      <c r="Y55" s="67">
        <f>C55+G55+J55+L55+O55+S55</f>
        <v>217542.89</v>
      </c>
      <c r="Z55" s="66">
        <f>D55+E55+H55+M55+P55+Q55</f>
        <v>1106214.67</v>
      </c>
    </row>
    <row r="56" spans="1:29" ht="11.4" hidden="1" customHeight="1">
      <c r="A56" s="77" t="s">
        <v>451</v>
      </c>
      <c r="B56" s="59">
        <f>B43+B47+B51+B55</f>
        <v>558312</v>
      </c>
      <c r="C56" s="59">
        <f t="shared" ref="C56:P56" si="21">C43+C47+C51+C55</f>
        <v>61821.31</v>
      </c>
      <c r="D56" s="59">
        <f t="shared" si="21"/>
        <v>620133.31000000006</v>
      </c>
      <c r="E56" s="59">
        <f t="shared" si="21"/>
        <v>503046</v>
      </c>
      <c r="F56" s="59">
        <f t="shared" si="21"/>
        <v>397549.59</v>
      </c>
      <c r="G56" s="59">
        <f t="shared" si="21"/>
        <v>105496.41</v>
      </c>
      <c r="H56" s="59">
        <f t="shared" si="21"/>
        <v>637004.28</v>
      </c>
      <c r="I56" s="59">
        <f t="shared" si="21"/>
        <v>503414.68</v>
      </c>
      <c r="J56" s="59">
        <f t="shared" si="21"/>
        <v>133589.6</v>
      </c>
      <c r="K56" s="59">
        <f t="shared" si="21"/>
        <v>550008</v>
      </c>
      <c r="L56" s="59">
        <f t="shared" si="21"/>
        <v>109158.26</v>
      </c>
      <c r="M56" s="59">
        <f t="shared" si="21"/>
        <v>659166.26</v>
      </c>
      <c r="N56" s="59">
        <f>N43+N47+N51+N55</f>
        <v>817784</v>
      </c>
      <c r="O56" s="59">
        <f>O43+O47+O51+O55</f>
        <v>370716.44</v>
      </c>
      <c r="P56" s="59">
        <f t="shared" si="21"/>
        <v>1188500.44</v>
      </c>
      <c r="Q56" s="59">
        <f t="shared" ref="Q56:S56" si="22">Q43+Q47+Q51+Q55</f>
        <v>343483.92</v>
      </c>
      <c r="R56" s="59">
        <f t="shared" si="22"/>
        <v>215861.48</v>
      </c>
      <c r="S56" s="59">
        <f t="shared" si="22"/>
        <v>127622.44</v>
      </c>
      <c r="T56" s="78"/>
      <c r="U56" s="78"/>
      <c r="V56" s="78"/>
      <c r="W56" s="77" t="s">
        <v>451</v>
      </c>
      <c r="X56" s="66">
        <f>B56+F56+I56+K56+N56+R56</f>
        <v>3042929.75</v>
      </c>
      <c r="Y56" s="66">
        <f>C56+G56+J56+L56+O56+S56</f>
        <v>908404.46</v>
      </c>
      <c r="Z56" s="66">
        <f>D56+E56+H56+M56+P56+Q56</f>
        <v>3951334.21</v>
      </c>
      <c r="AC56" s="103"/>
    </row>
    <row r="57" spans="1:29" ht="11.4" hidden="1" customHeight="1">
      <c r="A57" s="39" t="s">
        <v>452</v>
      </c>
      <c r="B57" s="47">
        <v>46526</v>
      </c>
      <c r="C57" s="43">
        <v>3951.44</v>
      </c>
      <c r="D57" s="43">
        <f t="shared" si="7"/>
        <v>50477.440000000002</v>
      </c>
      <c r="E57" s="43">
        <v>41920.5</v>
      </c>
      <c r="F57" s="43">
        <v>34398.67</v>
      </c>
      <c r="G57" s="44">
        <f t="shared" si="6"/>
        <v>7521.83</v>
      </c>
      <c r="H57" s="83">
        <v>53083.69</v>
      </c>
      <c r="I57" s="43">
        <v>43558.84</v>
      </c>
      <c r="J57" s="46">
        <f t="shared" si="5"/>
        <v>9524.85</v>
      </c>
      <c r="K57" s="68">
        <v>45834</v>
      </c>
      <c r="L57" s="41">
        <v>7979.97</v>
      </c>
      <c r="M57" s="42">
        <f t="shared" si="10"/>
        <v>53813.97</v>
      </c>
      <c r="N57" s="72">
        <v>102223</v>
      </c>
      <c r="O57" s="73">
        <v>27955.64</v>
      </c>
      <c r="P57" s="72">
        <f t="shared" si="12"/>
        <v>130178.64</v>
      </c>
      <c r="Q57" s="72">
        <f>R57+S57</f>
        <v>38164.879999999997</v>
      </c>
      <c r="R57" s="72">
        <v>24995.03</v>
      </c>
      <c r="S57" s="72">
        <v>13169.85</v>
      </c>
      <c r="T57" s="72"/>
      <c r="U57" s="72"/>
      <c r="V57" s="72"/>
      <c r="W57" s="39" t="s">
        <v>452</v>
      </c>
      <c r="X57" s="66">
        <f>X43+X47+X51+X55</f>
        <v>3042929.75</v>
      </c>
      <c r="Y57" s="66">
        <f t="shared" ref="Y57:Z57" si="23">Y43+Y47+Y51+Y55</f>
        <v>908404.46</v>
      </c>
      <c r="Z57" s="66">
        <f t="shared" si="23"/>
        <v>3951334.21</v>
      </c>
    </row>
    <row r="58" spans="1:29" ht="11.4" hidden="1" customHeight="1">
      <c r="A58" s="39">
        <v>2</v>
      </c>
      <c r="B58" s="47">
        <v>46526</v>
      </c>
      <c r="C58" s="43">
        <v>3753.86</v>
      </c>
      <c r="D58" s="43">
        <f t="shared" si="7"/>
        <v>50279.86</v>
      </c>
      <c r="E58" s="43">
        <v>41920.5</v>
      </c>
      <c r="F58" s="43">
        <v>34599.33</v>
      </c>
      <c r="G58" s="44">
        <f t="shared" si="6"/>
        <v>7321.17</v>
      </c>
      <c r="H58" s="83">
        <v>53083.69</v>
      </c>
      <c r="I58" s="43">
        <v>43812.93</v>
      </c>
      <c r="J58" s="46">
        <f t="shared" si="5"/>
        <v>9270.76</v>
      </c>
      <c r="K58" s="68">
        <v>45834</v>
      </c>
      <c r="L58" s="41">
        <v>7785.33</v>
      </c>
      <c r="M58" s="42">
        <f t="shared" si="10"/>
        <v>53619.33</v>
      </c>
      <c r="N58" s="72">
        <v>102223</v>
      </c>
      <c r="O58" s="73">
        <v>27347.9</v>
      </c>
      <c r="P58" s="72">
        <f t="shared" si="12"/>
        <v>129570.9</v>
      </c>
      <c r="Q58" s="72">
        <f t="shared" ref="Q58:Q71" si="24">R58+S58</f>
        <v>38164.879999999997</v>
      </c>
      <c r="R58" s="72">
        <v>25203.32</v>
      </c>
      <c r="S58" s="72">
        <v>12961.56</v>
      </c>
      <c r="T58" s="72"/>
      <c r="U58" s="72"/>
      <c r="V58" s="72"/>
      <c r="W58" s="39">
        <v>2</v>
      </c>
      <c r="X58" s="66"/>
      <c r="Y58" s="66"/>
      <c r="Z58" s="66"/>
    </row>
    <row r="59" spans="1:29" ht="11.4" hidden="1" customHeight="1">
      <c r="A59" s="39">
        <v>3</v>
      </c>
      <c r="B59" s="47">
        <v>46526</v>
      </c>
      <c r="C59" s="43">
        <v>3212.13</v>
      </c>
      <c r="D59" s="43">
        <f t="shared" si="7"/>
        <v>49738.13</v>
      </c>
      <c r="E59" s="43">
        <v>41920.5</v>
      </c>
      <c r="F59" s="43">
        <v>34801.160000000003</v>
      </c>
      <c r="G59" s="44">
        <f t="shared" si="6"/>
        <v>7119.34</v>
      </c>
      <c r="H59" s="83">
        <v>53083.69</v>
      </c>
      <c r="I59" s="43">
        <v>44068.5</v>
      </c>
      <c r="J59" s="46">
        <f t="shared" si="5"/>
        <v>9015.19</v>
      </c>
      <c r="K59" s="68">
        <v>45834</v>
      </c>
      <c r="L59" s="41">
        <v>6856.11</v>
      </c>
      <c r="M59" s="42">
        <f t="shared" si="10"/>
        <v>52690.11</v>
      </c>
      <c r="N59" s="72">
        <v>102223</v>
      </c>
      <c r="O59" s="73">
        <v>24152.41</v>
      </c>
      <c r="P59" s="72">
        <f t="shared" si="12"/>
        <v>126375.41</v>
      </c>
      <c r="Q59" s="72">
        <f t="shared" si="24"/>
        <v>38164.879999999997</v>
      </c>
      <c r="R59" s="72">
        <v>25413.35</v>
      </c>
      <c r="S59" s="72">
        <v>12751.53</v>
      </c>
      <c r="T59" s="114"/>
      <c r="U59" s="72"/>
      <c r="V59" s="72"/>
      <c r="W59" s="39">
        <v>3</v>
      </c>
      <c r="X59" s="66"/>
      <c r="Y59" s="66"/>
      <c r="Z59" s="66"/>
    </row>
    <row r="60" spans="1:29" ht="11.4" hidden="1" customHeight="1">
      <c r="A60" s="39"/>
      <c r="B60" s="76">
        <f t="shared" ref="B60:P60" si="25">SUM(B57:B59)</f>
        <v>139578</v>
      </c>
      <c r="C60" s="76">
        <f t="shared" si="25"/>
        <v>10917.43</v>
      </c>
      <c r="D60" s="76">
        <f t="shared" si="25"/>
        <v>150495.43</v>
      </c>
      <c r="E60" s="76">
        <f t="shared" si="25"/>
        <v>125761.5</v>
      </c>
      <c r="F60" s="76">
        <f t="shared" si="25"/>
        <v>103799.16</v>
      </c>
      <c r="G60" s="76">
        <f t="shared" si="25"/>
        <v>21962.34</v>
      </c>
      <c r="H60" s="76">
        <f t="shared" si="25"/>
        <v>159251.07</v>
      </c>
      <c r="I60" s="76">
        <f t="shared" si="25"/>
        <v>131440.26999999999</v>
      </c>
      <c r="J60" s="76">
        <f t="shared" si="25"/>
        <v>27810.799999999999</v>
      </c>
      <c r="K60" s="76">
        <f t="shared" si="25"/>
        <v>137502</v>
      </c>
      <c r="L60" s="76">
        <f t="shared" si="25"/>
        <v>22621.41</v>
      </c>
      <c r="M60" s="76">
        <f t="shared" si="25"/>
        <v>160123.41</v>
      </c>
      <c r="N60" s="76">
        <f t="shared" si="25"/>
        <v>306669</v>
      </c>
      <c r="O60" s="76">
        <f t="shared" si="25"/>
        <v>79455.95</v>
      </c>
      <c r="P60" s="76">
        <f t="shared" si="25"/>
        <v>386124.95</v>
      </c>
      <c r="Q60" s="76">
        <f t="shared" ref="Q60:S60" si="26">SUM(Q57:Q59)</f>
        <v>114494.64</v>
      </c>
      <c r="R60" s="76">
        <f t="shared" si="26"/>
        <v>75611.7</v>
      </c>
      <c r="S60" s="76">
        <f t="shared" si="26"/>
        <v>38882.94</v>
      </c>
      <c r="T60" s="76"/>
      <c r="U60" s="76"/>
      <c r="V60" s="76"/>
      <c r="W60" s="39"/>
      <c r="X60" s="66">
        <f>B60+F60+I60+K60+N60+R60+T60</f>
        <v>894600.13</v>
      </c>
      <c r="Y60" s="67">
        <f>C60+G60+J60+L60+O60+S60+U60</f>
        <v>201650.87</v>
      </c>
      <c r="Z60" s="66">
        <f>D60+E60+H60+M60+P60+Q60+V60</f>
        <v>1096251</v>
      </c>
    </row>
    <row r="61" spans="1:29" ht="11.4" hidden="1" customHeight="1">
      <c r="A61" s="39">
        <v>4</v>
      </c>
      <c r="B61" s="47">
        <v>46526</v>
      </c>
      <c r="C61" s="43">
        <v>3358.71</v>
      </c>
      <c r="D61" s="43">
        <f t="shared" si="7"/>
        <v>49884.71</v>
      </c>
      <c r="E61" s="43">
        <v>41920.5</v>
      </c>
      <c r="F61" s="43">
        <v>35004.17</v>
      </c>
      <c r="G61" s="44">
        <f t="shared" si="6"/>
        <v>6916.33</v>
      </c>
      <c r="H61" s="83">
        <v>53083.69</v>
      </c>
      <c r="I61" s="43">
        <v>44325.57</v>
      </c>
      <c r="J61" s="46">
        <f t="shared" si="5"/>
        <v>8758.1200000000008</v>
      </c>
      <c r="K61" s="68">
        <v>45834</v>
      </c>
      <c r="L61" s="41">
        <v>7396.06</v>
      </c>
      <c r="M61" s="42">
        <f t="shared" si="10"/>
        <v>53230.06</v>
      </c>
      <c r="N61" s="72">
        <v>102223</v>
      </c>
      <c r="O61" s="73">
        <v>26132.43</v>
      </c>
      <c r="P61" s="72">
        <f t="shared" si="12"/>
        <v>128355.43</v>
      </c>
      <c r="Q61" s="72">
        <f t="shared" si="24"/>
        <v>38164.879999999997</v>
      </c>
      <c r="R61" s="72">
        <v>25625.119999999999</v>
      </c>
      <c r="S61" s="72">
        <v>12539.76</v>
      </c>
      <c r="T61" s="72"/>
      <c r="U61" s="72"/>
      <c r="V61" s="72"/>
      <c r="W61" s="39">
        <v>4</v>
      </c>
      <c r="X61" s="66"/>
      <c r="Y61" s="67"/>
      <c r="Z61" s="66"/>
    </row>
    <row r="62" spans="1:29" ht="11.4" hidden="1" customHeight="1">
      <c r="A62" s="39">
        <v>5</v>
      </c>
      <c r="B62" s="47">
        <v>46526</v>
      </c>
      <c r="C62" s="43">
        <v>3059.16</v>
      </c>
      <c r="D62" s="43">
        <f t="shared" si="7"/>
        <v>49585.16</v>
      </c>
      <c r="E62" s="43">
        <v>41920.5</v>
      </c>
      <c r="F62" s="43">
        <v>35208.36</v>
      </c>
      <c r="G62" s="44">
        <f t="shared" si="6"/>
        <v>6712.14</v>
      </c>
      <c r="H62" s="83">
        <v>53083.69</v>
      </c>
      <c r="I62" s="43">
        <v>44584.14</v>
      </c>
      <c r="J62" s="46">
        <f t="shared" si="5"/>
        <v>8499.5499999999993</v>
      </c>
      <c r="K62" s="68">
        <v>45834</v>
      </c>
      <c r="L62" s="41">
        <v>6969.12</v>
      </c>
      <c r="M62" s="42">
        <f t="shared" si="10"/>
        <v>52803.12</v>
      </c>
      <c r="N62" s="72">
        <v>102223</v>
      </c>
      <c r="O62" s="73">
        <v>24701.32</v>
      </c>
      <c r="P62" s="72">
        <f t="shared" si="12"/>
        <v>126924.32</v>
      </c>
      <c r="Q62" s="72">
        <f t="shared" si="24"/>
        <v>38164.879999999997</v>
      </c>
      <c r="R62" s="72">
        <v>25838.67</v>
      </c>
      <c r="S62" s="72">
        <v>12326.21</v>
      </c>
      <c r="T62" s="72"/>
      <c r="U62" s="72"/>
      <c r="V62" s="72"/>
      <c r="W62" s="39">
        <v>5</v>
      </c>
      <c r="X62" s="66"/>
      <c r="Y62" s="67"/>
      <c r="Z62" s="66"/>
    </row>
    <row r="63" spans="1:29" ht="11.4" hidden="1" customHeight="1">
      <c r="A63" s="39">
        <v>6</v>
      </c>
      <c r="B63" s="47">
        <v>46526</v>
      </c>
      <c r="C63" s="43">
        <v>2963.56</v>
      </c>
      <c r="D63" s="43">
        <f t="shared" si="7"/>
        <v>49489.56</v>
      </c>
      <c r="E63" s="43">
        <v>41920.5</v>
      </c>
      <c r="F63" s="43">
        <v>35413.74</v>
      </c>
      <c r="G63" s="44">
        <f t="shared" si="6"/>
        <v>6506.76</v>
      </c>
      <c r="H63" s="83">
        <v>53083.69</v>
      </c>
      <c r="I63" s="43">
        <v>44844.21</v>
      </c>
      <c r="J63" s="46">
        <f t="shared" si="5"/>
        <v>8239.48</v>
      </c>
      <c r="K63" s="68">
        <v>45834</v>
      </c>
      <c r="L63" s="41">
        <v>7006.78</v>
      </c>
      <c r="M63" s="42">
        <f t="shared" si="10"/>
        <v>52840.78</v>
      </c>
      <c r="N63" s="72">
        <v>102223</v>
      </c>
      <c r="O63" s="73">
        <v>24916.959999999999</v>
      </c>
      <c r="P63" s="72">
        <f t="shared" si="12"/>
        <v>127139.96</v>
      </c>
      <c r="Q63" s="72">
        <f t="shared" si="24"/>
        <v>38164.879999999997</v>
      </c>
      <c r="R63" s="72">
        <v>26053.99</v>
      </c>
      <c r="S63" s="72">
        <v>12110.89</v>
      </c>
      <c r="T63" s="72"/>
      <c r="U63" s="72"/>
      <c r="V63" s="72"/>
      <c r="W63" s="39">
        <v>6</v>
      </c>
      <c r="X63" s="66"/>
      <c r="Y63" s="67"/>
      <c r="Z63" s="66"/>
    </row>
    <row r="64" spans="1:29" ht="11.4" hidden="1" customHeight="1">
      <c r="A64" s="39"/>
      <c r="B64" s="62">
        <f>SUM(B61:B63)</f>
        <v>139578</v>
      </c>
      <c r="C64" s="62">
        <f t="shared" ref="C64:S64" si="27">SUM(C61:C63)</f>
        <v>9381.43</v>
      </c>
      <c r="D64" s="62">
        <f t="shared" si="27"/>
        <v>148959.43</v>
      </c>
      <c r="E64" s="62">
        <f t="shared" si="27"/>
        <v>125761.5</v>
      </c>
      <c r="F64" s="62">
        <f t="shared" si="27"/>
        <v>105626.27</v>
      </c>
      <c r="G64" s="62">
        <f t="shared" si="27"/>
        <v>20135.23</v>
      </c>
      <c r="H64" s="62">
        <f t="shared" si="27"/>
        <v>159251.07</v>
      </c>
      <c r="I64" s="62">
        <f t="shared" si="27"/>
        <v>133753.92000000001</v>
      </c>
      <c r="J64" s="62">
        <f t="shared" si="27"/>
        <v>25497.15</v>
      </c>
      <c r="K64" s="62">
        <f t="shared" si="27"/>
        <v>137502</v>
      </c>
      <c r="L64" s="62">
        <f t="shared" si="27"/>
        <v>21371.96</v>
      </c>
      <c r="M64" s="62">
        <f t="shared" si="27"/>
        <v>158873.96</v>
      </c>
      <c r="N64" s="62">
        <f t="shared" si="27"/>
        <v>306669</v>
      </c>
      <c r="O64" s="62">
        <f t="shared" si="27"/>
        <v>75750.710000000006</v>
      </c>
      <c r="P64" s="62">
        <f t="shared" si="27"/>
        <v>382419.71</v>
      </c>
      <c r="Q64" s="62">
        <f t="shared" si="27"/>
        <v>114494.64</v>
      </c>
      <c r="R64" s="62">
        <f t="shared" si="27"/>
        <v>77517.78</v>
      </c>
      <c r="S64" s="62">
        <f t="shared" si="27"/>
        <v>36976.86</v>
      </c>
      <c r="T64" s="62"/>
      <c r="U64" s="62"/>
      <c r="V64" s="62"/>
      <c r="W64" s="39"/>
      <c r="X64" s="66">
        <f>B64+F64+I64+K64+N64+R64+T64</f>
        <v>900646.97</v>
      </c>
      <c r="Y64" s="67">
        <f>C64+G64+J64+L64+O64+S64+U64</f>
        <v>189113.34</v>
      </c>
      <c r="Z64" s="66">
        <f>D64+E64+H64+M64+P64+Q64+V64</f>
        <v>1089760.31</v>
      </c>
    </row>
    <row r="65" spans="1:26" ht="11.4" hidden="1" customHeight="1">
      <c r="A65" s="39">
        <v>7</v>
      </c>
      <c r="B65" s="47">
        <v>46526</v>
      </c>
      <c r="C65" s="43">
        <v>2676.76</v>
      </c>
      <c r="D65" s="43">
        <f t="shared" si="7"/>
        <v>49202.76</v>
      </c>
      <c r="E65" s="43">
        <v>41920.5</v>
      </c>
      <c r="F65" s="43">
        <v>35620.32</v>
      </c>
      <c r="G65" s="44">
        <f t="shared" si="6"/>
        <v>6300.18</v>
      </c>
      <c r="H65" s="83">
        <v>53083.69</v>
      </c>
      <c r="I65" s="43">
        <v>45105.8</v>
      </c>
      <c r="J65" s="46">
        <f t="shared" si="5"/>
        <v>7977.89</v>
      </c>
      <c r="K65" s="68">
        <v>45834</v>
      </c>
      <c r="L65" s="41">
        <v>6592.4</v>
      </c>
      <c r="M65" s="42">
        <f t="shared" si="10"/>
        <v>52426.400000000001</v>
      </c>
      <c r="N65" s="72">
        <v>102223</v>
      </c>
      <c r="O65" s="73">
        <v>23525.05</v>
      </c>
      <c r="P65" s="72">
        <f t="shared" si="12"/>
        <v>125748.05</v>
      </c>
      <c r="Q65" s="72">
        <f t="shared" si="24"/>
        <v>38164.879999999997</v>
      </c>
      <c r="R65" s="72">
        <v>26271.1</v>
      </c>
      <c r="S65" s="72">
        <v>11893.78</v>
      </c>
      <c r="T65" s="72"/>
      <c r="U65" s="72"/>
      <c r="V65" s="72"/>
      <c r="W65" s="39">
        <v>7</v>
      </c>
      <c r="X65" s="66"/>
      <c r="Y65" s="67"/>
      <c r="Z65" s="66"/>
    </row>
    <row r="66" spans="1:26" ht="11.4" hidden="1" customHeight="1">
      <c r="A66" s="39">
        <v>8</v>
      </c>
      <c r="B66" s="47">
        <v>46526</v>
      </c>
      <c r="C66" s="43">
        <v>2568.41</v>
      </c>
      <c r="D66" s="43">
        <f t="shared" si="7"/>
        <v>49094.41</v>
      </c>
      <c r="E66" s="43">
        <v>41920.5</v>
      </c>
      <c r="F66" s="43">
        <v>35828.11</v>
      </c>
      <c r="G66" s="44">
        <f t="shared" si="6"/>
        <v>6092.39</v>
      </c>
      <c r="H66" s="83">
        <v>53083.69</v>
      </c>
      <c r="I66" s="43">
        <v>45368.92</v>
      </c>
      <c r="J66" s="46">
        <f t="shared" si="5"/>
        <v>7714.77</v>
      </c>
      <c r="K66" s="68">
        <v>45834</v>
      </c>
      <c r="L66" s="41">
        <v>6617.51</v>
      </c>
      <c r="M66" s="42">
        <f t="shared" si="10"/>
        <v>52451.51</v>
      </c>
      <c r="N66" s="72">
        <v>102223</v>
      </c>
      <c r="O66" s="73">
        <v>23701.48</v>
      </c>
      <c r="P66" s="72">
        <f t="shared" si="12"/>
        <v>125924.48</v>
      </c>
      <c r="Q66" s="72">
        <f t="shared" si="24"/>
        <v>38164.879999999997</v>
      </c>
      <c r="R66" s="72">
        <v>26490.03</v>
      </c>
      <c r="S66" s="72">
        <v>11674.85</v>
      </c>
      <c r="T66" s="72"/>
      <c r="U66" s="72"/>
      <c r="V66" s="72"/>
      <c r="W66" s="39">
        <v>8</v>
      </c>
      <c r="X66" s="66"/>
      <c r="Y66" s="67"/>
      <c r="Z66" s="66"/>
    </row>
    <row r="67" spans="1:26" ht="11.4" hidden="1" customHeight="1">
      <c r="A67" s="39">
        <v>9</v>
      </c>
      <c r="B67" s="47">
        <v>46526</v>
      </c>
      <c r="C67" s="43">
        <v>2370.83</v>
      </c>
      <c r="D67" s="43">
        <f t="shared" si="7"/>
        <v>48896.83</v>
      </c>
      <c r="E67" s="43">
        <v>41920.5</v>
      </c>
      <c r="F67" s="43">
        <v>36037.1</v>
      </c>
      <c r="G67" s="44">
        <f t="shared" si="6"/>
        <v>5883.4</v>
      </c>
      <c r="H67" s="83">
        <v>53083.69</v>
      </c>
      <c r="I67" s="43">
        <v>45633.57</v>
      </c>
      <c r="J67" s="46">
        <f t="shared" si="5"/>
        <v>7450.12</v>
      </c>
      <c r="K67" s="68">
        <v>45834</v>
      </c>
      <c r="L67" s="41">
        <v>6422.87</v>
      </c>
      <c r="M67" s="42">
        <f t="shared" si="10"/>
        <v>52256.87</v>
      </c>
      <c r="N67" s="72">
        <v>102223</v>
      </c>
      <c r="O67" s="73">
        <v>23093.75</v>
      </c>
      <c r="P67" s="72">
        <f t="shared" si="12"/>
        <v>125316.75</v>
      </c>
      <c r="Q67" s="72">
        <f t="shared" si="24"/>
        <v>38164.879999999997</v>
      </c>
      <c r="R67" s="72">
        <v>26710.78</v>
      </c>
      <c r="S67" s="72">
        <v>11454.1</v>
      </c>
      <c r="T67" s="72"/>
      <c r="U67" s="72"/>
      <c r="V67" s="72"/>
      <c r="W67" s="39">
        <v>9</v>
      </c>
      <c r="X67" s="66"/>
      <c r="Y67" s="67"/>
      <c r="Z67" s="66"/>
    </row>
    <row r="68" spans="1:26" ht="11.4" hidden="1" customHeight="1">
      <c r="A68" s="39"/>
      <c r="B68" s="62">
        <f>SUM(B65:B67)</f>
        <v>139578</v>
      </c>
      <c r="C68" s="62">
        <f t="shared" ref="C68:S68" si="28">SUM(C65:C67)</f>
        <v>7616</v>
      </c>
      <c r="D68" s="62">
        <f t="shared" si="28"/>
        <v>147194</v>
      </c>
      <c r="E68" s="62">
        <f t="shared" si="28"/>
        <v>125761.5</v>
      </c>
      <c r="F68" s="62">
        <f t="shared" si="28"/>
        <v>107485.53</v>
      </c>
      <c r="G68" s="62">
        <f t="shared" si="28"/>
        <v>18275.97</v>
      </c>
      <c r="H68" s="62">
        <f t="shared" si="28"/>
        <v>159251.07</v>
      </c>
      <c r="I68" s="62">
        <f t="shared" si="28"/>
        <v>136108.29</v>
      </c>
      <c r="J68" s="62">
        <f t="shared" si="28"/>
        <v>23142.78</v>
      </c>
      <c r="K68" s="62">
        <f t="shared" si="28"/>
        <v>137502</v>
      </c>
      <c r="L68" s="62">
        <f t="shared" si="28"/>
        <v>19632.78</v>
      </c>
      <c r="M68" s="62">
        <f t="shared" si="28"/>
        <v>157134.78</v>
      </c>
      <c r="N68" s="62">
        <f t="shared" si="28"/>
        <v>306669</v>
      </c>
      <c r="O68" s="62">
        <f t="shared" si="28"/>
        <v>70320.28</v>
      </c>
      <c r="P68" s="62">
        <f t="shared" si="28"/>
        <v>376989.28</v>
      </c>
      <c r="Q68" s="62">
        <f t="shared" si="28"/>
        <v>114494.64</v>
      </c>
      <c r="R68" s="62">
        <f t="shared" si="28"/>
        <v>79471.91</v>
      </c>
      <c r="S68" s="62">
        <f t="shared" si="28"/>
        <v>35022.730000000003</v>
      </c>
      <c r="T68" s="62"/>
      <c r="U68" s="62"/>
      <c r="V68" s="62"/>
      <c r="W68" s="39"/>
      <c r="X68" s="66">
        <f>B68+F68+I68+K68+N68+R68+T68</f>
        <v>906814.73</v>
      </c>
      <c r="Y68" s="67">
        <f>C68+G68+J68+L68+O68+S68+U68</f>
        <v>174010.54</v>
      </c>
      <c r="Z68" s="66">
        <f>D68+E68+H68+M68+P68+Q68+V68</f>
        <v>1080825.27</v>
      </c>
    </row>
    <row r="69" spans="1:26" ht="11.4" hidden="1" customHeight="1">
      <c r="A69" s="39">
        <v>10</v>
      </c>
      <c r="B69" s="47">
        <v>46526</v>
      </c>
      <c r="C69" s="43">
        <v>2103.15</v>
      </c>
      <c r="D69" s="43">
        <f t="shared" si="7"/>
        <v>48629.15</v>
      </c>
      <c r="E69" s="43">
        <v>41920.5</v>
      </c>
      <c r="F69" s="43">
        <v>36247.32</v>
      </c>
      <c r="G69" s="44">
        <f t="shared" si="6"/>
        <v>5673.18</v>
      </c>
      <c r="H69" s="83">
        <v>53083.69</v>
      </c>
      <c r="I69" s="43">
        <v>45899.77</v>
      </c>
      <c r="J69" s="46">
        <f t="shared" si="5"/>
        <v>7183.92</v>
      </c>
      <c r="K69" s="68">
        <v>45834</v>
      </c>
      <c r="L69" s="41">
        <v>6027.32</v>
      </c>
      <c r="M69" s="42">
        <f t="shared" si="10"/>
        <v>51861.32</v>
      </c>
      <c r="N69" s="72">
        <v>102223</v>
      </c>
      <c r="O69" s="73">
        <v>21760.65</v>
      </c>
      <c r="P69" s="72">
        <f t="shared" si="12"/>
        <v>123983.65</v>
      </c>
      <c r="Q69" s="72">
        <f t="shared" si="24"/>
        <v>38164.879999999997</v>
      </c>
      <c r="R69" s="72">
        <v>26933.37</v>
      </c>
      <c r="S69" s="72">
        <v>11231.51</v>
      </c>
      <c r="T69" s="72"/>
      <c r="U69" s="72"/>
      <c r="V69" s="72"/>
      <c r="W69" s="39">
        <v>10</v>
      </c>
      <c r="X69" s="66"/>
      <c r="Y69" s="99"/>
      <c r="Z69" s="66"/>
    </row>
    <row r="70" spans="1:26" ht="11.4" hidden="1" customHeight="1">
      <c r="A70" s="39">
        <v>11</v>
      </c>
      <c r="B70" s="47">
        <v>46526</v>
      </c>
      <c r="C70" s="43">
        <v>1975.68</v>
      </c>
      <c r="D70" s="43">
        <f t="shared" si="7"/>
        <v>48501.68</v>
      </c>
      <c r="E70" s="43">
        <v>41920.5</v>
      </c>
      <c r="F70" s="43">
        <v>36458.76</v>
      </c>
      <c r="G70" s="44">
        <f t="shared" si="6"/>
        <v>5461.74</v>
      </c>
      <c r="H70" s="83">
        <v>53083.69</v>
      </c>
      <c r="I70" s="43">
        <v>46167.519999999997</v>
      </c>
      <c r="J70" s="46">
        <f t="shared" si="5"/>
        <v>6916.17</v>
      </c>
      <c r="K70" s="68">
        <v>45834</v>
      </c>
      <c r="L70" s="41">
        <v>6033.59</v>
      </c>
      <c r="M70" s="42">
        <f t="shared" si="10"/>
        <v>51867.59</v>
      </c>
      <c r="N70" s="72">
        <v>102223</v>
      </c>
      <c r="O70" s="73">
        <v>21878.27</v>
      </c>
      <c r="P70" s="72">
        <f t="shared" si="12"/>
        <v>124101.27</v>
      </c>
      <c r="Q70" s="72">
        <f t="shared" si="24"/>
        <v>38164.879999999997</v>
      </c>
      <c r="R70" s="72">
        <v>27157.82</v>
      </c>
      <c r="S70" s="72">
        <v>11007.06</v>
      </c>
      <c r="T70" s="72"/>
      <c r="U70" s="72"/>
      <c r="V70" s="72"/>
      <c r="W70" s="39">
        <v>11</v>
      </c>
      <c r="X70" s="66"/>
      <c r="Y70" s="99"/>
      <c r="Z70" s="66"/>
    </row>
    <row r="71" spans="1:26" ht="11.4" hidden="1" customHeight="1">
      <c r="A71" s="39">
        <v>12</v>
      </c>
      <c r="B71" s="47">
        <v>46526</v>
      </c>
      <c r="C71" s="43">
        <v>1720.74</v>
      </c>
      <c r="D71" s="43">
        <f t="shared" si="7"/>
        <v>48246.74</v>
      </c>
      <c r="E71" s="43">
        <v>41920.5</v>
      </c>
      <c r="F71" s="43">
        <v>36671.440000000002</v>
      </c>
      <c r="G71" s="44">
        <f t="shared" si="6"/>
        <v>5249.06</v>
      </c>
      <c r="H71" s="83">
        <v>53083.69</v>
      </c>
      <c r="I71" s="43">
        <v>46436.83</v>
      </c>
      <c r="J71" s="46">
        <f t="shared" si="5"/>
        <v>6646.86</v>
      </c>
      <c r="K71" s="68">
        <v>45834</v>
      </c>
      <c r="L71" s="41">
        <v>5650.6</v>
      </c>
      <c r="M71" s="42">
        <f t="shared" si="10"/>
        <v>51484.6</v>
      </c>
      <c r="N71" s="72">
        <v>102223</v>
      </c>
      <c r="O71" s="73">
        <v>20584.39</v>
      </c>
      <c r="P71" s="72">
        <f t="shared" si="12"/>
        <v>122807.39</v>
      </c>
      <c r="Q71" s="72">
        <f t="shared" si="24"/>
        <v>38164.879999999997</v>
      </c>
      <c r="R71" s="72">
        <v>27384.13</v>
      </c>
      <c r="S71" s="72">
        <v>10780.75</v>
      </c>
      <c r="T71" s="72"/>
      <c r="U71" s="72"/>
      <c r="V71" s="72"/>
      <c r="W71" s="39">
        <v>12</v>
      </c>
      <c r="X71" s="66"/>
      <c r="Y71" s="99"/>
      <c r="Z71" s="66"/>
    </row>
    <row r="72" spans="1:26" ht="11.4" hidden="1" customHeight="1">
      <c r="A72" s="39"/>
      <c r="B72" s="62">
        <f>SUM(B69:B71)</f>
        <v>139578</v>
      </c>
      <c r="C72" s="62">
        <f t="shared" ref="C72:S72" si="29">SUM(C69:C71)</f>
        <v>5799.57</v>
      </c>
      <c r="D72" s="62">
        <f t="shared" si="29"/>
        <v>145377.57</v>
      </c>
      <c r="E72" s="62">
        <f t="shared" si="29"/>
        <v>125761.5</v>
      </c>
      <c r="F72" s="62">
        <f t="shared" si="29"/>
        <v>109377.52</v>
      </c>
      <c r="G72" s="62">
        <f t="shared" si="29"/>
        <v>16383.98</v>
      </c>
      <c r="H72" s="62">
        <f t="shared" si="29"/>
        <v>159251.07</v>
      </c>
      <c r="I72" s="62">
        <f t="shared" si="29"/>
        <v>138504.12</v>
      </c>
      <c r="J72" s="62">
        <f t="shared" si="29"/>
        <v>20746.95</v>
      </c>
      <c r="K72" s="62">
        <f t="shared" si="29"/>
        <v>137502</v>
      </c>
      <c r="L72" s="62">
        <f t="shared" si="29"/>
        <v>17711.509999999998</v>
      </c>
      <c r="M72" s="62">
        <f t="shared" si="29"/>
        <v>155213.51</v>
      </c>
      <c r="N72" s="62">
        <f t="shared" si="29"/>
        <v>306669</v>
      </c>
      <c r="O72" s="62">
        <f t="shared" si="29"/>
        <v>64223.31</v>
      </c>
      <c r="P72" s="62">
        <f t="shared" si="29"/>
        <v>370892.31</v>
      </c>
      <c r="Q72" s="62">
        <f t="shared" si="29"/>
        <v>114494.64</v>
      </c>
      <c r="R72" s="62">
        <f t="shared" si="29"/>
        <v>81475.320000000007</v>
      </c>
      <c r="S72" s="62">
        <f t="shared" si="29"/>
        <v>33019.32</v>
      </c>
      <c r="T72" s="62"/>
      <c r="U72" s="62"/>
      <c r="V72" s="62"/>
      <c r="W72" s="39"/>
      <c r="X72" s="66">
        <f>B72+F72+I72+K72+N72+R72+T72</f>
        <v>913105.96</v>
      </c>
      <c r="Y72" s="67">
        <f>C72+G72+J72+L72+O72+S72+U72</f>
        <v>157884.64000000001</v>
      </c>
      <c r="Z72" s="66">
        <f>D72+E72+H72+M72+P72+Q72+V72</f>
        <v>1070990.6000000001</v>
      </c>
    </row>
    <row r="73" spans="1:26" ht="11.4" hidden="1" customHeight="1">
      <c r="A73" s="77" t="s">
        <v>453</v>
      </c>
      <c r="B73" s="59">
        <f>B60+B64+B68+B72</f>
        <v>558312</v>
      </c>
      <c r="C73" s="59">
        <f t="shared" ref="C73:S73" si="30">C60+C64+C68+C72</f>
        <v>33714.43</v>
      </c>
      <c r="D73" s="59">
        <f t="shared" si="30"/>
        <v>592026.43000000005</v>
      </c>
      <c r="E73" s="59">
        <f t="shared" si="30"/>
        <v>503046</v>
      </c>
      <c r="F73" s="59">
        <f t="shared" si="30"/>
        <v>426288.48</v>
      </c>
      <c r="G73" s="59">
        <f t="shared" si="30"/>
        <v>76757.52</v>
      </c>
      <c r="H73" s="59">
        <f t="shared" si="30"/>
        <v>637004.28</v>
      </c>
      <c r="I73" s="59">
        <f t="shared" si="30"/>
        <v>539806.6</v>
      </c>
      <c r="J73" s="59">
        <f t="shared" si="30"/>
        <v>97197.68</v>
      </c>
      <c r="K73" s="59">
        <f t="shared" si="30"/>
        <v>550008</v>
      </c>
      <c r="L73" s="59">
        <f t="shared" si="30"/>
        <v>81337.66</v>
      </c>
      <c r="M73" s="59">
        <f t="shared" si="30"/>
        <v>631345.66</v>
      </c>
      <c r="N73" s="59">
        <f t="shared" si="30"/>
        <v>1226676</v>
      </c>
      <c r="O73" s="59">
        <f t="shared" si="30"/>
        <v>289750.25</v>
      </c>
      <c r="P73" s="59">
        <f t="shared" si="30"/>
        <v>1516426.25</v>
      </c>
      <c r="Q73" s="59">
        <f t="shared" si="30"/>
        <v>457978.56</v>
      </c>
      <c r="R73" s="59">
        <f t="shared" si="30"/>
        <v>314076.71000000002</v>
      </c>
      <c r="S73" s="59">
        <f t="shared" si="30"/>
        <v>143901.85</v>
      </c>
      <c r="T73" s="59"/>
      <c r="U73" s="59"/>
      <c r="V73" s="59"/>
      <c r="W73" s="77" t="s">
        <v>453</v>
      </c>
      <c r="X73" s="66">
        <f>B73+F73+I73+K73+N73+R73+T73</f>
        <v>3615167.79</v>
      </c>
      <c r="Y73" s="66">
        <f>C73+G73+J73+L73+O73+S73+U73</f>
        <v>722659.39</v>
      </c>
      <c r="Z73" s="66">
        <f>D73+E73+H73+M73+P73+Q73+V73</f>
        <v>4337827.18</v>
      </c>
    </row>
    <row r="74" spans="1:26" ht="11.4" hidden="1" customHeight="1">
      <c r="A74" s="39" t="s">
        <v>454</v>
      </c>
      <c r="B74" s="47">
        <v>46526</v>
      </c>
      <c r="C74" s="43">
        <v>1580.52</v>
      </c>
      <c r="D74" s="43">
        <f t="shared" si="7"/>
        <v>48106.52</v>
      </c>
      <c r="E74" s="43">
        <v>41920.5</v>
      </c>
      <c r="F74" s="43">
        <v>36885.35</v>
      </c>
      <c r="G74" s="44">
        <f t="shared" si="6"/>
        <v>5035.1499999999996</v>
      </c>
      <c r="H74" s="43">
        <v>53083.69</v>
      </c>
      <c r="I74" s="43">
        <v>46707.71</v>
      </c>
      <c r="J74" s="46">
        <f t="shared" si="5"/>
        <v>6375.98</v>
      </c>
      <c r="K74" s="68">
        <v>45834</v>
      </c>
      <c r="L74" s="41">
        <v>5644.32</v>
      </c>
      <c r="M74" s="42">
        <f t="shared" si="10"/>
        <v>51478.32</v>
      </c>
      <c r="N74" s="72">
        <v>102223</v>
      </c>
      <c r="O74" s="73">
        <v>20662.8</v>
      </c>
      <c r="P74" s="72">
        <f t="shared" si="12"/>
        <v>122885.8</v>
      </c>
      <c r="Q74" s="72">
        <f>R74+S74</f>
        <v>38164.879999999997</v>
      </c>
      <c r="R74" s="72">
        <v>27612.33</v>
      </c>
      <c r="S74" s="72">
        <v>10552.55</v>
      </c>
      <c r="T74" s="72"/>
      <c r="U74" s="72"/>
      <c r="V74" s="72"/>
      <c r="W74" s="39" t="s">
        <v>454</v>
      </c>
      <c r="X74" s="66">
        <f>X60+X64+X68+X72</f>
        <v>3615167.79</v>
      </c>
      <c r="Y74" s="66">
        <f t="shared" ref="Y74:Z74" si="31">Y60+Y64+Y68+Y72</f>
        <v>722659.39</v>
      </c>
      <c r="Z74" s="66">
        <f t="shared" si="31"/>
        <v>4337827.18</v>
      </c>
    </row>
    <row r="75" spans="1:26" ht="11.4" hidden="1" customHeight="1">
      <c r="A75" s="39">
        <v>2</v>
      </c>
      <c r="B75" s="47">
        <v>46526</v>
      </c>
      <c r="C75" s="43">
        <v>1382.95</v>
      </c>
      <c r="D75" s="43">
        <f t="shared" si="7"/>
        <v>47908.95</v>
      </c>
      <c r="E75" s="43">
        <v>41920.5</v>
      </c>
      <c r="F75" s="43">
        <v>37100.519999999997</v>
      </c>
      <c r="G75" s="44">
        <f t="shared" si="6"/>
        <v>4819.9799999999996</v>
      </c>
      <c r="H75" s="43">
        <v>53083.69</v>
      </c>
      <c r="I75" s="43">
        <v>46980.17</v>
      </c>
      <c r="J75" s="46">
        <f t="shared" si="5"/>
        <v>6103.52</v>
      </c>
      <c r="K75" s="68">
        <v>45834</v>
      </c>
      <c r="L75" s="41">
        <v>5449.68</v>
      </c>
      <c r="M75" s="42">
        <f t="shared" si="10"/>
        <v>51283.68</v>
      </c>
      <c r="N75" s="72">
        <v>102223</v>
      </c>
      <c r="O75" s="73">
        <v>20055.060000000001</v>
      </c>
      <c r="P75" s="72">
        <f t="shared" si="12"/>
        <v>122278.06</v>
      </c>
      <c r="Q75" s="72">
        <f t="shared" ref="Q75:Q122" si="32">R75+S75</f>
        <v>38164.879999999997</v>
      </c>
      <c r="R75" s="72">
        <v>27842.43</v>
      </c>
      <c r="S75" s="72">
        <v>10322.450000000001</v>
      </c>
      <c r="T75" s="72"/>
      <c r="U75" s="72"/>
      <c r="V75" s="72"/>
      <c r="W75" s="39">
        <v>2</v>
      </c>
      <c r="X75" s="66"/>
      <c r="Y75" s="66"/>
      <c r="Z75" s="66"/>
    </row>
    <row r="76" spans="1:26" ht="11.4" hidden="1" customHeight="1">
      <c r="A76" s="39">
        <v>3</v>
      </c>
      <c r="B76" s="47">
        <v>46526</v>
      </c>
      <c r="C76" s="43">
        <v>1070.6600000000001</v>
      </c>
      <c r="D76" s="43">
        <f t="shared" si="7"/>
        <v>47596.66</v>
      </c>
      <c r="E76" s="43">
        <v>41920.5</v>
      </c>
      <c r="F76" s="43">
        <v>37316.94</v>
      </c>
      <c r="G76" s="44">
        <f t="shared" si="6"/>
        <v>4603.5600000000004</v>
      </c>
      <c r="H76" s="43">
        <v>53083.69</v>
      </c>
      <c r="I76" s="43">
        <v>47254.22</v>
      </c>
      <c r="J76" s="46">
        <f t="shared" si="5"/>
        <v>5829.47</v>
      </c>
      <c r="K76" s="68">
        <v>45834</v>
      </c>
      <c r="L76" s="41">
        <v>4746.49</v>
      </c>
      <c r="M76" s="42">
        <f t="shared" si="10"/>
        <v>50580.49</v>
      </c>
      <c r="N76" s="72">
        <v>102223</v>
      </c>
      <c r="O76" s="73">
        <v>17565.330000000002</v>
      </c>
      <c r="P76" s="72">
        <f t="shared" si="12"/>
        <v>119788.33</v>
      </c>
      <c r="Q76" s="72">
        <f t="shared" si="32"/>
        <v>38164.879999999997</v>
      </c>
      <c r="R76" s="72">
        <v>28074.45</v>
      </c>
      <c r="S76" s="72">
        <v>10090.43</v>
      </c>
      <c r="T76" s="72"/>
      <c r="U76" s="72"/>
      <c r="V76" s="72"/>
      <c r="W76" s="39">
        <v>3</v>
      </c>
      <c r="X76" s="66"/>
      <c r="Y76" s="66"/>
      <c r="Z76" s="66"/>
    </row>
    <row r="77" spans="1:26" ht="11.4" hidden="1" customHeight="1">
      <c r="A77" s="39"/>
      <c r="B77" s="62">
        <f>SUM(B74:B76)</f>
        <v>139578</v>
      </c>
      <c r="C77" s="62">
        <f t="shared" ref="C77:S77" si="33">SUM(C74:C76)</f>
        <v>4034.13</v>
      </c>
      <c r="D77" s="62">
        <f t="shared" si="33"/>
        <v>143612.13</v>
      </c>
      <c r="E77" s="62">
        <f t="shared" si="33"/>
        <v>125761.5</v>
      </c>
      <c r="F77" s="62">
        <f t="shared" si="33"/>
        <v>111302.81</v>
      </c>
      <c r="G77" s="62">
        <f t="shared" si="33"/>
        <v>14458.69</v>
      </c>
      <c r="H77" s="62">
        <f t="shared" si="33"/>
        <v>159251.07</v>
      </c>
      <c r="I77" s="62">
        <f t="shared" si="33"/>
        <v>140942.1</v>
      </c>
      <c r="J77" s="62">
        <f t="shared" si="33"/>
        <v>18308.97</v>
      </c>
      <c r="K77" s="62">
        <f t="shared" si="33"/>
        <v>137502</v>
      </c>
      <c r="L77" s="62">
        <f t="shared" si="33"/>
        <v>15840.49</v>
      </c>
      <c r="M77" s="62">
        <f t="shared" si="33"/>
        <v>153342.49</v>
      </c>
      <c r="N77" s="62">
        <f t="shared" si="33"/>
        <v>306669</v>
      </c>
      <c r="O77" s="62">
        <f t="shared" si="33"/>
        <v>58283.19</v>
      </c>
      <c r="P77" s="62">
        <f t="shared" si="33"/>
        <v>364952.19</v>
      </c>
      <c r="Q77" s="62">
        <f t="shared" si="33"/>
        <v>114494.64</v>
      </c>
      <c r="R77" s="62">
        <f t="shared" si="33"/>
        <v>83529.210000000006</v>
      </c>
      <c r="S77" s="62">
        <f t="shared" si="33"/>
        <v>30965.43</v>
      </c>
      <c r="T77" s="62"/>
      <c r="U77" s="62"/>
      <c r="V77" s="62"/>
      <c r="W77" s="39"/>
      <c r="X77" s="66">
        <f>B77+F77+I77+K77+N77+R77+T77</f>
        <v>919523.12</v>
      </c>
      <c r="Y77" s="67">
        <f>C77+G77+J77+L77+O77+S77+U77</f>
        <v>141890.9</v>
      </c>
      <c r="Z77" s="66">
        <f>D77+E77+H77+M77+P77+Q77+V77</f>
        <v>1061414.02</v>
      </c>
    </row>
    <row r="78" spans="1:26" ht="11.4" hidden="1" customHeight="1">
      <c r="A78" s="39">
        <v>4</v>
      </c>
      <c r="B78" s="47">
        <v>46526</v>
      </c>
      <c r="C78" s="43">
        <v>987.8</v>
      </c>
      <c r="D78" s="43">
        <f t="shared" si="7"/>
        <v>47513.8</v>
      </c>
      <c r="E78" s="43">
        <v>41920.5</v>
      </c>
      <c r="F78" s="43">
        <v>37534.620000000003</v>
      </c>
      <c r="G78" s="44">
        <f t="shared" si="6"/>
        <v>4385.88</v>
      </c>
      <c r="H78" s="43">
        <v>53083.69</v>
      </c>
      <c r="I78" s="43">
        <v>47529.87</v>
      </c>
      <c r="J78" s="46">
        <f t="shared" si="5"/>
        <v>5553.82</v>
      </c>
      <c r="K78" s="68">
        <v>45834</v>
      </c>
      <c r="L78" s="41">
        <v>5060.41</v>
      </c>
      <c r="M78" s="42">
        <f t="shared" si="10"/>
        <v>50894.41</v>
      </c>
      <c r="N78" s="72">
        <v>102223</v>
      </c>
      <c r="O78" s="73">
        <v>18839.59</v>
      </c>
      <c r="P78" s="72">
        <f t="shared" si="12"/>
        <v>121062.59</v>
      </c>
      <c r="Q78" s="72">
        <f t="shared" si="32"/>
        <v>38164.879999999997</v>
      </c>
      <c r="R78" s="72">
        <v>28308.41</v>
      </c>
      <c r="S78" s="72">
        <v>9856.4699999999993</v>
      </c>
      <c r="T78" s="72"/>
      <c r="U78" s="72"/>
      <c r="V78" s="72"/>
      <c r="W78" s="39">
        <v>4</v>
      </c>
      <c r="X78" s="66"/>
      <c r="Y78" s="67"/>
      <c r="Z78" s="66"/>
    </row>
    <row r="79" spans="1:26" ht="11.4" hidden="1" customHeight="1">
      <c r="A79" s="39">
        <v>5</v>
      </c>
      <c r="B79" s="47">
        <v>46526</v>
      </c>
      <c r="C79" s="43">
        <v>764.73</v>
      </c>
      <c r="D79" s="43">
        <f t="shared" si="7"/>
        <v>47290.73</v>
      </c>
      <c r="E79" s="43">
        <v>41920.5</v>
      </c>
      <c r="F79" s="43">
        <v>37753.57</v>
      </c>
      <c r="G79" s="44">
        <f t="shared" si="6"/>
        <v>4166.93</v>
      </c>
      <c r="H79" s="43">
        <v>53083.69</v>
      </c>
      <c r="I79" s="43">
        <v>47807.13</v>
      </c>
      <c r="J79" s="46">
        <f t="shared" si="5"/>
        <v>5276.56</v>
      </c>
      <c r="K79" s="68">
        <v>45834</v>
      </c>
      <c r="L79" s="41">
        <v>4708.8100000000004</v>
      </c>
      <c r="M79" s="42">
        <f t="shared" si="10"/>
        <v>50542.81</v>
      </c>
      <c r="N79" s="72">
        <v>102223</v>
      </c>
      <c r="O79" s="73">
        <v>17643.73</v>
      </c>
      <c r="P79" s="72">
        <f t="shared" si="12"/>
        <v>119866.73</v>
      </c>
      <c r="Q79" s="72">
        <f t="shared" si="32"/>
        <v>38164.879999999997</v>
      </c>
      <c r="R79" s="72">
        <v>28544.31</v>
      </c>
      <c r="S79" s="72">
        <v>9620.57</v>
      </c>
      <c r="T79" s="72"/>
      <c r="U79" s="72"/>
      <c r="V79" s="72"/>
      <c r="W79" s="39">
        <v>5</v>
      </c>
      <c r="X79" s="66"/>
      <c r="Y79" s="67"/>
      <c r="Z79" s="66"/>
    </row>
    <row r="80" spans="1:26" ht="11.4" hidden="1" customHeight="1">
      <c r="A80" s="39">
        <v>6</v>
      </c>
      <c r="B80" s="47">
        <v>46526</v>
      </c>
      <c r="C80" s="43">
        <v>592.64</v>
      </c>
      <c r="D80" s="43">
        <f t="shared" si="7"/>
        <v>47118.64</v>
      </c>
      <c r="E80" s="43">
        <v>41920.5</v>
      </c>
      <c r="F80" s="43">
        <v>37973.800000000003</v>
      </c>
      <c r="G80" s="44">
        <f t="shared" si="6"/>
        <v>3946.7</v>
      </c>
      <c r="H80" s="43">
        <v>53083.69</v>
      </c>
      <c r="I80" s="43">
        <v>48086</v>
      </c>
      <c r="J80" s="46">
        <f t="shared" si="5"/>
        <v>4997.6899999999996</v>
      </c>
      <c r="K80" s="68">
        <v>45834</v>
      </c>
      <c r="L80" s="41">
        <v>4671.13</v>
      </c>
      <c r="M80" s="42">
        <f t="shared" si="10"/>
        <v>50505.13</v>
      </c>
      <c r="N80" s="72">
        <v>102223</v>
      </c>
      <c r="O80" s="73">
        <v>17624.12</v>
      </c>
      <c r="P80" s="72">
        <f t="shared" si="12"/>
        <v>119847.12</v>
      </c>
      <c r="Q80" s="72">
        <f t="shared" si="32"/>
        <v>38164.879999999997</v>
      </c>
      <c r="R80" s="72">
        <v>28782.18</v>
      </c>
      <c r="S80" s="72">
        <v>9382.7000000000007</v>
      </c>
      <c r="T80" s="72"/>
      <c r="U80" s="72"/>
      <c r="V80" s="72"/>
      <c r="W80" s="39">
        <v>6</v>
      </c>
      <c r="X80" s="66"/>
      <c r="Y80" s="67"/>
      <c r="Z80" s="66"/>
    </row>
    <row r="81" spans="1:26" ht="11.4" hidden="1" customHeight="1">
      <c r="A81" s="39"/>
      <c r="B81" s="62">
        <f>SUM(B78:B80)</f>
        <v>139578</v>
      </c>
      <c r="C81" s="62">
        <f t="shared" ref="C81:S81" si="34">SUM(C78:C80)</f>
        <v>2345.17</v>
      </c>
      <c r="D81" s="62">
        <f t="shared" si="34"/>
        <v>141923.17000000001</v>
      </c>
      <c r="E81" s="62">
        <f t="shared" si="34"/>
        <v>125761.5</v>
      </c>
      <c r="F81" s="62">
        <f t="shared" si="34"/>
        <v>113261.99</v>
      </c>
      <c r="G81" s="62">
        <f t="shared" si="34"/>
        <v>12499.51</v>
      </c>
      <c r="H81" s="62">
        <f t="shared" si="34"/>
        <v>159251.07</v>
      </c>
      <c r="I81" s="62">
        <f t="shared" si="34"/>
        <v>143423</v>
      </c>
      <c r="J81" s="62">
        <f t="shared" si="34"/>
        <v>15828.07</v>
      </c>
      <c r="K81" s="62">
        <f t="shared" si="34"/>
        <v>137502</v>
      </c>
      <c r="L81" s="62">
        <f t="shared" si="34"/>
        <v>14440.35</v>
      </c>
      <c r="M81" s="62">
        <f t="shared" si="34"/>
        <v>151942.35</v>
      </c>
      <c r="N81" s="62">
        <f t="shared" si="34"/>
        <v>306669</v>
      </c>
      <c r="O81" s="62">
        <f t="shared" si="34"/>
        <v>54107.44</v>
      </c>
      <c r="P81" s="62">
        <f t="shared" si="34"/>
        <v>360776.44</v>
      </c>
      <c r="Q81" s="62">
        <f t="shared" si="34"/>
        <v>114494.64</v>
      </c>
      <c r="R81" s="62">
        <f t="shared" si="34"/>
        <v>85634.9</v>
      </c>
      <c r="S81" s="62">
        <f t="shared" si="34"/>
        <v>28859.74</v>
      </c>
      <c r="T81" s="62"/>
      <c r="U81" s="62"/>
      <c r="V81" s="62"/>
      <c r="W81" s="39"/>
      <c r="X81" s="66">
        <f>B81+F81+I81+K81+N81+R81</f>
        <v>926068.89</v>
      </c>
      <c r="Y81" s="67">
        <f>C81+G81+J81+L81+O81+S81</f>
        <v>128080.28</v>
      </c>
      <c r="Z81" s="66">
        <f>D81+E81+H81+M81+P81+Q81</f>
        <v>1054149.17</v>
      </c>
    </row>
    <row r="82" spans="1:26" ht="11.4" hidden="1" customHeight="1">
      <c r="A82" s="39">
        <v>7</v>
      </c>
      <c r="B82" s="47">
        <v>46526</v>
      </c>
      <c r="C82" s="43">
        <v>382.32</v>
      </c>
      <c r="D82" s="43">
        <f t="shared" si="7"/>
        <v>46908.32</v>
      </c>
      <c r="E82" s="43">
        <v>41920.5</v>
      </c>
      <c r="F82" s="43">
        <v>38195.32</v>
      </c>
      <c r="G82" s="44">
        <f t="shared" si="6"/>
        <v>3725.18</v>
      </c>
      <c r="H82" s="43">
        <v>53083.69</v>
      </c>
      <c r="I82" s="43">
        <v>48366.5</v>
      </c>
      <c r="J82" s="46">
        <f t="shared" si="5"/>
        <v>4717.1899999999996</v>
      </c>
      <c r="K82" s="68">
        <v>45834</v>
      </c>
      <c r="L82" s="41">
        <v>4332.09</v>
      </c>
      <c r="M82" s="42">
        <f t="shared" si="10"/>
        <v>50166.09</v>
      </c>
      <c r="N82" s="72">
        <v>102223</v>
      </c>
      <c r="O82" s="73">
        <v>16467.46</v>
      </c>
      <c r="P82" s="72">
        <f t="shared" si="12"/>
        <v>118690.46</v>
      </c>
      <c r="Q82" s="72">
        <f t="shared" si="32"/>
        <v>38164.879999999997</v>
      </c>
      <c r="R82" s="72">
        <v>29022.03</v>
      </c>
      <c r="S82" s="72">
        <v>9142.85</v>
      </c>
      <c r="T82" s="72"/>
      <c r="U82" s="72"/>
      <c r="V82" s="72"/>
      <c r="W82" s="39">
        <v>7</v>
      </c>
      <c r="X82" s="66"/>
      <c r="Y82" s="67"/>
      <c r="Z82" s="66"/>
    </row>
    <row r="83" spans="1:26" ht="11.4" hidden="1" customHeight="1">
      <c r="A83" s="39">
        <v>8</v>
      </c>
      <c r="B83" s="47">
        <v>46506</v>
      </c>
      <c r="C83" s="43">
        <v>229.34</v>
      </c>
      <c r="D83" s="43">
        <f t="shared" si="7"/>
        <v>46735.34</v>
      </c>
      <c r="E83" s="43">
        <v>41920.5</v>
      </c>
      <c r="F83" s="43">
        <v>38418.120000000003</v>
      </c>
      <c r="G83" s="44">
        <f t="shared" si="6"/>
        <v>3502.38</v>
      </c>
      <c r="H83" s="43">
        <v>53083.69</v>
      </c>
      <c r="I83" s="43">
        <v>48648.639999999999</v>
      </c>
      <c r="J83" s="46">
        <f t="shared" si="5"/>
        <v>4435.05</v>
      </c>
      <c r="K83" s="68">
        <v>45834</v>
      </c>
      <c r="L83" s="41">
        <v>4281.8599999999997</v>
      </c>
      <c r="M83" s="42">
        <f t="shared" si="10"/>
        <v>50115.86</v>
      </c>
      <c r="N83" s="72">
        <v>102223</v>
      </c>
      <c r="O83" s="73">
        <v>16408.64</v>
      </c>
      <c r="P83" s="72">
        <f t="shared" si="12"/>
        <v>118631.64</v>
      </c>
      <c r="Q83" s="72">
        <f t="shared" si="32"/>
        <v>38164.879999999997</v>
      </c>
      <c r="R83" s="72">
        <v>29263.88</v>
      </c>
      <c r="S83" s="72">
        <v>8901</v>
      </c>
      <c r="T83" s="72"/>
      <c r="U83" s="72"/>
      <c r="V83" s="72"/>
      <c r="W83" s="39">
        <v>8</v>
      </c>
      <c r="X83" s="66"/>
      <c r="Y83" s="67"/>
      <c r="Z83" s="66"/>
    </row>
    <row r="84" spans="1:26" ht="11.4" hidden="1" customHeight="1">
      <c r="A84" s="39">
        <v>9</v>
      </c>
      <c r="B84" s="47"/>
      <c r="C84" s="81"/>
      <c r="D84" s="81"/>
      <c r="E84" s="43">
        <v>41920.5</v>
      </c>
      <c r="F84" s="43">
        <v>38642.230000000003</v>
      </c>
      <c r="G84" s="44">
        <f t="shared" si="6"/>
        <v>3278.27</v>
      </c>
      <c r="H84" s="43">
        <v>53083.69</v>
      </c>
      <c r="I84" s="43">
        <v>48932.43</v>
      </c>
      <c r="J84" s="46">
        <f t="shared" si="5"/>
        <v>4151.26</v>
      </c>
      <c r="K84" s="68">
        <v>45834</v>
      </c>
      <c r="L84" s="41">
        <v>4087.22</v>
      </c>
      <c r="M84" s="42">
        <f t="shared" si="10"/>
        <v>49921.22</v>
      </c>
      <c r="N84" s="72">
        <v>102223</v>
      </c>
      <c r="O84" s="73">
        <v>15800.91</v>
      </c>
      <c r="P84" s="72">
        <f t="shared" si="12"/>
        <v>118023.91</v>
      </c>
      <c r="Q84" s="72">
        <f t="shared" si="32"/>
        <v>38164.879999999997</v>
      </c>
      <c r="R84" s="72">
        <v>29507.75</v>
      </c>
      <c r="S84" s="72">
        <v>8657.1299999999992</v>
      </c>
      <c r="T84" s="72"/>
      <c r="U84" s="72"/>
      <c r="V84" s="72"/>
      <c r="W84" s="39">
        <v>9</v>
      </c>
      <c r="X84" s="66"/>
      <c r="Y84" s="67"/>
      <c r="Z84" s="66"/>
    </row>
    <row r="85" spans="1:26" ht="11.4" hidden="1" customHeight="1">
      <c r="A85" s="39"/>
      <c r="B85" s="62">
        <f>SUM(B82:B84)</f>
        <v>93032</v>
      </c>
      <c r="C85" s="62">
        <f t="shared" ref="C85:S85" si="35">SUM(C82:C84)</f>
        <v>611.66</v>
      </c>
      <c r="D85" s="62">
        <f t="shared" si="35"/>
        <v>93643.66</v>
      </c>
      <c r="E85" s="62">
        <f t="shared" si="35"/>
        <v>125761.5</v>
      </c>
      <c r="F85" s="62">
        <f t="shared" si="35"/>
        <v>115255.67</v>
      </c>
      <c r="G85" s="62">
        <f t="shared" si="35"/>
        <v>10505.83</v>
      </c>
      <c r="H85" s="62">
        <f t="shared" si="35"/>
        <v>159251.07</v>
      </c>
      <c r="I85" s="62">
        <f t="shared" si="35"/>
        <v>145947.57</v>
      </c>
      <c r="J85" s="62">
        <f t="shared" si="35"/>
        <v>13303.5</v>
      </c>
      <c r="K85" s="62">
        <f t="shared" si="35"/>
        <v>137502</v>
      </c>
      <c r="L85" s="62">
        <f t="shared" si="35"/>
        <v>12701.17</v>
      </c>
      <c r="M85" s="62">
        <f t="shared" si="35"/>
        <v>150203.17000000001</v>
      </c>
      <c r="N85" s="62">
        <f t="shared" si="35"/>
        <v>306669</v>
      </c>
      <c r="O85" s="62">
        <f t="shared" si="35"/>
        <v>48677.01</v>
      </c>
      <c r="P85" s="62">
        <f t="shared" si="35"/>
        <v>355346.01</v>
      </c>
      <c r="Q85" s="62">
        <f t="shared" si="35"/>
        <v>114494.64</v>
      </c>
      <c r="R85" s="62">
        <f t="shared" si="35"/>
        <v>87793.66</v>
      </c>
      <c r="S85" s="62">
        <f t="shared" si="35"/>
        <v>26700.98</v>
      </c>
      <c r="T85" s="62"/>
      <c r="U85" s="62"/>
      <c r="V85" s="62"/>
      <c r="W85" s="39"/>
      <c r="X85" s="66">
        <f>B85+F85+I85+K85+N85+R85</f>
        <v>886199.9</v>
      </c>
      <c r="Y85" s="67">
        <f>C85+G85+J85+L85+O85+S85</f>
        <v>112500.15</v>
      </c>
      <c r="Z85" s="66">
        <f>D85+E85+H85+M85+P85+Q85</f>
        <v>998700.05</v>
      </c>
    </row>
    <row r="86" spans="1:26" ht="11.4" hidden="1" customHeight="1">
      <c r="A86" s="39">
        <v>10</v>
      </c>
      <c r="B86" s="47"/>
      <c r="C86" s="81"/>
      <c r="D86" s="81"/>
      <c r="E86" s="43">
        <v>41920.5</v>
      </c>
      <c r="F86" s="43">
        <v>38867.64</v>
      </c>
      <c r="G86" s="44">
        <f t="shared" si="6"/>
        <v>3052.86</v>
      </c>
      <c r="H86" s="43">
        <v>53083.69</v>
      </c>
      <c r="I86" s="43">
        <v>49217.86</v>
      </c>
      <c r="J86" s="46">
        <f t="shared" si="5"/>
        <v>3865.83</v>
      </c>
      <c r="K86" s="68">
        <v>45834</v>
      </c>
      <c r="L86" s="41">
        <v>3767.01</v>
      </c>
      <c r="M86" s="42">
        <f t="shared" si="10"/>
        <v>49601.01</v>
      </c>
      <c r="N86" s="72">
        <v>102223</v>
      </c>
      <c r="O86" s="73">
        <v>14703.07</v>
      </c>
      <c r="P86" s="72">
        <f t="shared" si="12"/>
        <v>116926.07</v>
      </c>
      <c r="Q86" s="72">
        <f t="shared" si="32"/>
        <v>38164.879999999997</v>
      </c>
      <c r="R86" s="72">
        <v>29753.65</v>
      </c>
      <c r="S86" s="72">
        <v>8411.23</v>
      </c>
      <c r="T86" s="72"/>
      <c r="U86" s="72"/>
      <c r="V86" s="72"/>
      <c r="W86" s="39">
        <v>10</v>
      </c>
      <c r="X86" s="66"/>
      <c r="Y86" s="67"/>
      <c r="Z86" s="66"/>
    </row>
    <row r="87" spans="1:26" ht="11.4" hidden="1" customHeight="1">
      <c r="A87" s="39">
        <v>11</v>
      </c>
      <c r="B87" s="47"/>
      <c r="C87" s="81"/>
      <c r="D87" s="81"/>
      <c r="E87" s="43">
        <v>41920.5</v>
      </c>
      <c r="F87" s="43">
        <v>39094.370000000003</v>
      </c>
      <c r="G87" s="44">
        <f t="shared" si="6"/>
        <v>2826.13</v>
      </c>
      <c r="H87" s="43">
        <v>53083.69</v>
      </c>
      <c r="I87" s="43">
        <v>49504.97</v>
      </c>
      <c r="J87" s="46">
        <f t="shared" si="5"/>
        <v>3578.72</v>
      </c>
      <c r="K87" s="68">
        <v>45834</v>
      </c>
      <c r="L87" s="41">
        <v>3697.94</v>
      </c>
      <c r="M87" s="42">
        <f t="shared" si="10"/>
        <v>49531.94</v>
      </c>
      <c r="N87" s="72">
        <v>102223</v>
      </c>
      <c r="O87" s="73">
        <v>14585.43</v>
      </c>
      <c r="P87" s="72">
        <f t="shared" si="12"/>
        <v>116808.43</v>
      </c>
      <c r="Q87" s="72">
        <f t="shared" si="32"/>
        <v>38164.879999999997</v>
      </c>
      <c r="R87" s="72">
        <v>30001.59</v>
      </c>
      <c r="S87" s="72">
        <v>8163.29</v>
      </c>
      <c r="T87" s="72"/>
      <c r="U87" s="72"/>
      <c r="V87" s="72"/>
      <c r="W87" s="39">
        <v>11</v>
      </c>
      <c r="X87" s="66"/>
      <c r="Y87" s="67"/>
      <c r="Z87" s="66"/>
    </row>
    <row r="88" spans="1:26" ht="11.4" hidden="1" customHeight="1">
      <c r="A88" s="39">
        <v>12</v>
      </c>
      <c r="B88" s="47"/>
      <c r="C88" s="81"/>
      <c r="D88" s="81"/>
      <c r="E88" s="43">
        <v>41920.5</v>
      </c>
      <c r="F88" s="43">
        <v>39322.42</v>
      </c>
      <c r="G88" s="44">
        <f t="shared" si="6"/>
        <v>2598.08</v>
      </c>
      <c r="H88" s="43">
        <v>53083.69</v>
      </c>
      <c r="I88" s="43">
        <v>49793.75</v>
      </c>
      <c r="J88" s="46">
        <f t="shared" si="5"/>
        <v>3289.94</v>
      </c>
      <c r="K88" s="68">
        <v>45834</v>
      </c>
      <c r="L88" s="41">
        <v>3390.3</v>
      </c>
      <c r="M88" s="42">
        <f t="shared" si="10"/>
        <v>49224.3</v>
      </c>
      <c r="N88" s="72">
        <v>102223</v>
      </c>
      <c r="O88" s="73">
        <v>13526.8</v>
      </c>
      <c r="P88" s="72">
        <f t="shared" si="12"/>
        <v>115749.8</v>
      </c>
      <c r="Q88" s="72">
        <f t="shared" si="32"/>
        <v>38164.879999999997</v>
      </c>
      <c r="R88" s="72">
        <v>30251.61</v>
      </c>
      <c r="S88" s="72">
        <v>7913.27</v>
      </c>
      <c r="T88" s="72"/>
      <c r="U88" s="72"/>
      <c r="V88" s="72"/>
      <c r="W88" s="39">
        <v>12</v>
      </c>
      <c r="X88" s="66"/>
      <c r="Y88" s="67"/>
      <c r="Z88" s="66"/>
    </row>
    <row r="89" spans="1:26" ht="11.4" hidden="1" customHeight="1">
      <c r="A89" s="39"/>
      <c r="B89" s="47"/>
      <c r="C89" s="81"/>
      <c r="D89" s="81"/>
      <c r="E89" s="63">
        <f>SUM(E86:E88)</f>
        <v>125761.5</v>
      </c>
      <c r="F89" s="63">
        <f t="shared" ref="F89:S89" si="36">SUM(F86:F88)</f>
        <v>117284.43</v>
      </c>
      <c r="G89" s="63">
        <f t="shared" si="36"/>
        <v>8477.07</v>
      </c>
      <c r="H89" s="63">
        <f t="shared" si="36"/>
        <v>159251.07</v>
      </c>
      <c r="I89" s="63">
        <f t="shared" si="36"/>
        <v>148516.57999999999</v>
      </c>
      <c r="J89" s="63">
        <f t="shared" si="36"/>
        <v>10734.49</v>
      </c>
      <c r="K89" s="63">
        <f t="shared" si="36"/>
        <v>137502</v>
      </c>
      <c r="L89" s="63">
        <f t="shared" si="36"/>
        <v>10855.25</v>
      </c>
      <c r="M89" s="63">
        <f t="shared" si="36"/>
        <v>148357.25</v>
      </c>
      <c r="N89" s="63">
        <f t="shared" si="36"/>
        <v>306669</v>
      </c>
      <c r="O89" s="63">
        <f t="shared" si="36"/>
        <v>42815.3</v>
      </c>
      <c r="P89" s="63">
        <f t="shared" si="36"/>
        <v>349484.3</v>
      </c>
      <c r="Q89" s="63">
        <f t="shared" si="36"/>
        <v>114494.64</v>
      </c>
      <c r="R89" s="63">
        <f t="shared" si="36"/>
        <v>90006.85</v>
      </c>
      <c r="S89" s="63">
        <f t="shared" si="36"/>
        <v>24487.79</v>
      </c>
      <c r="T89" s="63"/>
      <c r="U89" s="63"/>
      <c r="V89" s="63"/>
      <c r="W89" s="39"/>
      <c r="X89" s="66">
        <f>B89+F89+I89+K89+N89+R89</f>
        <v>799978.86</v>
      </c>
      <c r="Y89" s="67">
        <f>C89+G89+J89+L89+O89+S89</f>
        <v>97369.9</v>
      </c>
      <c r="Z89" s="66">
        <f>D89+E89+H89+M89+P89+Q89</f>
        <v>897348.76</v>
      </c>
    </row>
    <row r="90" spans="1:26" ht="11.4" hidden="1" customHeight="1">
      <c r="A90" s="77" t="s">
        <v>455</v>
      </c>
      <c r="B90" s="59">
        <f>B77+B81+B85+B89</f>
        <v>372188</v>
      </c>
      <c r="C90" s="59">
        <f t="shared" ref="C90:S90" si="37">C77+C81+C85+C89</f>
        <v>6990.96</v>
      </c>
      <c r="D90" s="59">
        <f t="shared" si="37"/>
        <v>379178.96</v>
      </c>
      <c r="E90" s="59">
        <f t="shared" si="37"/>
        <v>503046</v>
      </c>
      <c r="F90" s="59">
        <f t="shared" si="37"/>
        <v>457104.9</v>
      </c>
      <c r="G90" s="59">
        <f t="shared" si="37"/>
        <v>45941.1</v>
      </c>
      <c r="H90" s="59">
        <f t="shared" si="37"/>
        <v>637004.28</v>
      </c>
      <c r="I90" s="59">
        <f t="shared" si="37"/>
        <v>578829.25</v>
      </c>
      <c r="J90" s="59">
        <f t="shared" si="37"/>
        <v>58175.03</v>
      </c>
      <c r="K90" s="59">
        <f t="shared" si="37"/>
        <v>550008</v>
      </c>
      <c r="L90" s="59">
        <f t="shared" si="37"/>
        <v>53837.26</v>
      </c>
      <c r="M90" s="59">
        <f t="shared" si="37"/>
        <v>603845.26</v>
      </c>
      <c r="N90" s="59">
        <f t="shared" si="37"/>
        <v>1226676</v>
      </c>
      <c r="O90" s="59">
        <f t="shared" si="37"/>
        <v>203882.94</v>
      </c>
      <c r="P90" s="59">
        <f t="shared" si="37"/>
        <v>1430558.94</v>
      </c>
      <c r="Q90" s="59">
        <f t="shared" si="37"/>
        <v>457978.56</v>
      </c>
      <c r="R90" s="59">
        <f t="shared" si="37"/>
        <v>346964.62</v>
      </c>
      <c r="S90" s="59">
        <f t="shared" si="37"/>
        <v>111013.94</v>
      </c>
      <c r="T90" s="59"/>
      <c r="U90" s="59"/>
      <c r="V90" s="59"/>
      <c r="W90" s="77" t="s">
        <v>455</v>
      </c>
      <c r="X90" s="66">
        <f>B90+F90+I90++K90+N90+R90+T90</f>
        <v>3531770.77</v>
      </c>
      <c r="Y90" s="67">
        <f>C90+G90+J90+L90+O90+S90+U90</f>
        <v>479841.23</v>
      </c>
      <c r="Z90" s="66">
        <f>D90+E90+H90+M90+P90+Q90+V90</f>
        <v>4011612</v>
      </c>
    </row>
    <row r="91" spans="1:26" ht="11.4" hidden="1" customHeight="1">
      <c r="A91" s="39" t="s">
        <v>456</v>
      </c>
      <c r="B91" s="85"/>
      <c r="C91" s="81"/>
      <c r="D91" s="81"/>
      <c r="E91" s="43">
        <v>41920.5</v>
      </c>
      <c r="F91" s="43">
        <v>39551.800000000003</v>
      </c>
      <c r="G91" s="44">
        <f t="shared" si="6"/>
        <v>2368.6999999999998</v>
      </c>
      <c r="H91" s="43">
        <v>53083.69</v>
      </c>
      <c r="I91" s="43">
        <v>50084.21</v>
      </c>
      <c r="J91" s="46">
        <f t="shared" si="5"/>
        <v>2999.48</v>
      </c>
      <c r="K91" s="68">
        <v>45834</v>
      </c>
      <c r="L91" s="41">
        <v>3308.67</v>
      </c>
      <c r="M91" s="42">
        <f t="shared" si="10"/>
        <v>49142.67</v>
      </c>
      <c r="N91" s="72">
        <v>102223</v>
      </c>
      <c r="O91" s="73">
        <v>13369.96</v>
      </c>
      <c r="P91" s="69">
        <f t="shared" si="12"/>
        <v>115592.96000000001</v>
      </c>
      <c r="Q91" s="69">
        <f t="shared" si="32"/>
        <v>38164.879999999997</v>
      </c>
      <c r="R91" s="69">
        <v>30503.7</v>
      </c>
      <c r="S91" s="69">
        <v>7661.18</v>
      </c>
      <c r="T91" s="69"/>
      <c r="U91" s="72"/>
      <c r="V91" s="72"/>
      <c r="W91" s="39" t="s">
        <v>456</v>
      </c>
      <c r="X91" s="66">
        <f>X77+X81+X85+X89</f>
        <v>3531770.77</v>
      </c>
      <c r="Y91" s="66">
        <f>Y77+Y81+Y85+Y89</f>
        <v>479841.23</v>
      </c>
      <c r="Z91" s="66">
        <f>Z77+Z81+Z85+Z89</f>
        <v>4011612</v>
      </c>
    </row>
    <row r="92" spans="1:26" ht="11.4" hidden="1" customHeight="1">
      <c r="A92" s="39">
        <v>2</v>
      </c>
      <c r="B92" s="85"/>
      <c r="C92" s="81"/>
      <c r="D92" s="81"/>
      <c r="E92" s="43">
        <v>41920.5</v>
      </c>
      <c r="F92" s="43">
        <v>39782.519999999997</v>
      </c>
      <c r="G92" s="44">
        <f t="shared" si="6"/>
        <v>2137.98</v>
      </c>
      <c r="H92" s="43">
        <v>53083.69</v>
      </c>
      <c r="I92" s="43">
        <v>50376.37</v>
      </c>
      <c r="J92" s="46">
        <f t="shared" si="5"/>
        <v>2707.32</v>
      </c>
      <c r="K92" s="68">
        <v>45834</v>
      </c>
      <c r="L92" s="41">
        <v>3114.03</v>
      </c>
      <c r="M92" s="42">
        <f t="shared" si="10"/>
        <v>48948.03</v>
      </c>
      <c r="N92" s="72">
        <v>102223</v>
      </c>
      <c r="O92" s="73">
        <v>12762.22</v>
      </c>
      <c r="P92" s="69">
        <f t="shared" si="12"/>
        <v>114985.22</v>
      </c>
      <c r="Q92" s="69">
        <f t="shared" si="32"/>
        <v>38164.879999999997</v>
      </c>
      <c r="R92" s="69">
        <v>30757.9</v>
      </c>
      <c r="S92" s="69">
        <v>7406.98</v>
      </c>
      <c r="T92" s="69"/>
      <c r="U92" s="72"/>
      <c r="V92" s="72"/>
      <c r="W92" s="39">
        <v>2</v>
      </c>
      <c r="X92" s="66"/>
      <c r="Y92" s="66"/>
      <c r="Z92" s="66"/>
    </row>
    <row r="93" spans="1:26" ht="11.4" hidden="1" customHeight="1">
      <c r="A93" s="39">
        <v>3</v>
      </c>
      <c r="B93" s="85"/>
      <c r="C93" s="81"/>
      <c r="D93" s="81"/>
      <c r="E93" s="43">
        <v>41920.5</v>
      </c>
      <c r="F93" s="43">
        <v>40014.58</v>
      </c>
      <c r="G93" s="44">
        <f t="shared" si="6"/>
        <v>1905.92</v>
      </c>
      <c r="H93" s="43">
        <v>53083.69</v>
      </c>
      <c r="I93" s="43">
        <v>50670.23</v>
      </c>
      <c r="J93" s="46">
        <f t="shared" si="5"/>
        <v>2413.46</v>
      </c>
      <c r="K93" s="68">
        <v>45834</v>
      </c>
      <c r="L93" s="41">
        <v>2636.87</v>
      </c>
      <c r="M93" s="42">
        <f t="shared" si="10"/>
        <v>48470.87</v>
      </c>
      <c r="N93" s="72">
        <v>102223</v>
      </c>
      <c r="O93" s="73">
        <v>10978.24</v>
      </c>
      <c r="P93" s="69">
        <f t="shared" si="12"/>
        <v>113201.24</v>
      </c>
      <c r="Q93" s="69">
        <f t="shared" si="32"/>
        <v>38164.879999999997</v>
      </c>
      <c r="R93" s="69">
        <v>31014.22</v>
      </c>
      <c r="S93" s="69">
        <v>7150.66</v>
      </c>
      <c r="T93" s="69"/>
      <c r="U93" s="72"/>
      <c r="V93" s="72"/>
      <c r="W93" s="39">
        <v>3</v>
      </c>
      <c r="X93" s="66"/>
      <c r="Y93" s="66"/>
      <c r="Z93" s="66"/>
    </row>
    <row r="94" spans="1:26" ht="11.4" hidden="1" customHeight="1">
      <c r="A94" s="39"/>
      <c r="B94" s="85"/>
      <c r="C94" s="81"/>
      <c r="D94" s="81"/>
      <c r="E94" s="63">
        <f>SUM(E91:E93)</f>
        <v>125761.5</v>
      </c>
      <c r="F94" s="63">
        <f t="shared" ref="F94:V94" si="38">SUM(F91:F93)</f>
        <v>119348.9</v>
      </c>
      <c r="G94" s="63">
        <f t="shared" si="38"/>
        <v>6412.6</v>
      </c>
      <c r="H94" s="63">
        <f t="shared" si="38"/>
        <v>159251.07</v>
      </c>
      <c r="I94" s="63">
        <f t="shared" si="38"/>
        <v>151130.81</v>
      </c>
      <c r="J94" s="63">
        <f t="shared" si="38"/>
        <v>8120.26</v>
      </c>
      <c r="K94" s="63">
        <f t="shared" si="38"/>
        <v>137502</v>
      </c>
      <c r="L94" s="63">
        <f t="shared" si="38"/>
        <v>9059.57</v>
      </c>
      <c r="M94" s="63">
        <f t="shared" si="38"/>
        <v>146561.57</v>
      </c>
      <c r="N94" s="64">
        <f t="shared" si="38"/>
        <v>306669</v>
      </c>
      <c r="O94" s="63">
        <f t="shared" si="38"/>
        <v>37110.42</v>
      </c>
      <c r="P94" s="63">
        <f t="shared" si="38"/>
        <v>343779.42</v>
      </c>
      <c r="Q94" s="63">
        <f t="shared" si="38"/>
        <v>114494.64</v>
      </c>
      <c r="R94" s="63">
        <f t="shared" si="38"/>
        <v>92275.82</v>
      </c>
      <c r="S94" s="63">
        <f t="shared" si="38"/>
        <v>22218.82</v>
      </c>
      <c r="T94" s="63">
        <f t="shared" si="38"/>
        <v>0</v>
      </c>
      <c r="U94" s="62">
        <f t="shared" si="38"/>
        <v>0</v>
      </c>
      <c r="V94" s="63">
        <f t="shared" si="38"/>
        <v>0</v>
      </c>
      <c r="W94" s="39"/>
      <c r="X94" s="66">
        <f>B94+F94+I94+K94+N94+R94</f>
        <v>806926.53</v>
      </c>
      <c r="Y94" s="67">
        <f>C94+G94+J94+L94+O94+S94</f>
        <v>82921.67</v>
      </c>
      <c r="Z94" s="66">
        <f>D94+E94+H94+M94+P94+Q94</f>
        <v>889848.2</v>
      </c>
    </row>
    <row r="95" spans="1:26" ht="11.4" hidden="1" customHeight="1">
      <c r="A95" s="39">
        <v>4</v>
      </c>
      <c r="B95" s="85"/>
      <c r="C95" s="81"/>
      <c r="D95" s="81"/>
      <c r="E95" s="43">
        <v>41920.5</v>
      </c>
      <c r="F95" s="43">
        <v>40248</v>
      </c>
      <c r="G95" s="44">
        <f t="shared" si="6"/>
        <v>1672.5</v>
      </c>
      <c r="H95" s="43">
        <v>53083.69</v>
      </c>
      <c r="I95" s="43">
        <v>50965.81</v>
      </c>
      <c r="J95" s="46">
        <f t="shared" si="5"/>
        <v>2117.88</v>
      </c>
      <c r="K95" s="68">
        <v>45834</v>
      </c>
      <c r="L95" s="41">
        <v>2724.76</v>
      </c>
      <c r="M95" s="42">
        <f t="shared" si="10"/>
        <v>48558.76</v>
      </c>
      <c r="N95" s="72">
        <v>102223</v>
      </c>
      <c r="O95" s="73">
        <v>11546.75</v>
      </c>
      <c r="P95" s="69">
        <f t="shared" si="12"/>
        <v>113769.75</v>
      </c>
      <c r="Q95" s="69">
        <f t="shared" si="32"/>
        <v>38164.879999999997</v>
      </c>
      <c r="R95" s="69">
        <v>31272.67</v>
      </c>
      <c r="S95" s="69">
        <v>6892.21</v>
      </c>
      <c r="T95" s="69"/>
      <c r="U95" s="72"/>
      <c r="V95" s="72"/>
      <c r="W95" s="39">
        <v>4</v>
      </c>
      <c r="X95" s="66"/>
      <c r="Y95" s="67"/>
      <c r="Z95" s="66"/>
    </row>
    <row r="96" spans="1:26" ht="11.4" hidden="1" customHeight="1">
      <c r="A96" s="39">
        <v>5</v>
      </c>
      <c r="B96" s="85"/>
      <c r="C96" s="81"/>
      <c r="D96" s="81"/>
      <c r="E96" s="43">
        <v>41920.5</v>
      </c>
      <c r="F96" s="81">
        <v>40482.78</v>
      </c>
      <c r="G96" s="44">
        <f t="shared" si="6"/>
        <v>1437.72</v>
      </c>
      <c r="H96" s="43">
        <v>53083.69</v>
      </c>
      <c r="I96" s="81">
        <v>51263.11</v>
      </c>
      <c r="J96" s="46">
        <f t="shared" si="5"/>
        <v>1820.58</v>
      </c>
      <c r="K96" s="68">
        <v>45834</v>
      </c>
      <c r="L96" s="41">
        <v>2448.5</v>
      </c>
      <c r="M96" s="42">
        <f t="shared" si="10"/>
        <v>48282.5</v>
      </c>
      <c r="N96" s="72">
        <v>102223</v>
      </c>
      <c r="O96" s="73">
        <v>10586.14</v>
      </c>
      <c r="P96" s="69">
        <f t="shared" si="12"/>
        <v>112809.14</v>
      </c>
      <c r="Q96" s="69">
        <f t="shared" si="32"/>
        <v>38164.879999999997</v>
      </c>
      <c r="R96" s="69">
        <v>31533.27</v>
      </c>
      <c r="S96" s="69">
        <v>6631.61</v>
      </c>
      <c r="T96" s="69"/>
      <c r="U96" s="72"/>
      <c r="V96" s="72"/>
      <c r="W96" s="39">
        <v>5</v>
      </c>
      <c r="X96" s="66"/>
      <c r="Y96" s="67"/>
      <c r="Z96" s="66"/>
    </row>
    <row r="97" spans="1:26" ht="11.4" hidden="1" customHeight="1">
      <c r="A97" s="39">
        <v>6</v>
      </c>
      <c r="B97" s="85"/>
      <c r="C97" s="81"/>
      <c r="D97" s="81"/>
      <c r="E97" s="43">
        <v>41920.5</v>
      </c>
      <c r="F97" s="81">
        <v>40718.93</v>
      </c>
      <c r="G97" s="44">
        <f t="shared" si="6"/>
        <v>1201.57</v>
      </c>
      <c r="H97" s="43">
        <v>53083.69</v>
      </c>
      <c r="I97" s="81">
        <v>51562.14</v>
      </c>
      <c r="J97" s="46">
        <f t="shared" si="5"/>
        <v>1521.55</v>
      </c>
      <c r="K97" s="68">
        <v>45834</v>
      </c>
      <c r="L97" s="41">
        <v>2335.48</v>
      </c>
      <c r="M97" s="42">
        <f t="shared" si="10"/>
        <v>48169.48</v>
      </c>
      <c r="N97" s="72">
        <v>102223</v>
      </c>
      <c r="O97" s="73">
        <v>10331.27</v>
      </c>
      <c r="P97" s="69">
        <f t="shared" si="12"/>
        <v>112554.27</v>
      </c>
      <c r="Q97" s="69">
        <f t="shared" si="32"/>
        <v>38164.879999999997</v>
      </c>
      <c r="R97" s="69">
        <v>31796.05</v>
      </c>
      <c r="S97" s="69">
        <v>6368.83</v>
      </c>
      <c r="T97" s="69"/>
      <c r="U97" s="72"/>
      <c r="V97" s="72"/>
      <c r="W97" s="39">
        <v>6</v>
      </c>
      <c r="X97" s="66"/>
      <c r="Y97" s="67"/>
      <c r="Z97" s="66"/>
    </row>
    <row r="98" spans="1:26" ht="11.4" hidden="1" customHeight="1">
      <c r="A98" s="39"/>
      <c r="B98" s="85"/>
      <c r="C98" s="81"/>
      <c r="D98" s="81"/>
      <c r="E98" s="63">
        <f>SUM(E95:E97)</f>
        <v>125761.5</v>
      </c>
      <c r="F98" s="63">
        <f t="shared" ref="F98:V98" si="39">SUM(F95:F97)</f>
        <v>121449.71</v>
      </c>
      <c r="G98" s="63">
        <f t="shared" si="39"/>
        <v>4311.79</v>
      </c>
      <c r="H98" s="63">
        <f t="shared" si="39"/>
        <v>159251.07</v>
      </c>
      <c r="I98" s="63">
        <f t="shared" si="39"/>
        <v>153791.06</v>
      </c>
      <c r="J98" s="63">
        <f t="shared" si="39"/>
        <v>5460.01</v>
      </c>
      <c r="K98" s="63">
        <f t="shared" si="39"/>
        <v>137502</v>
      </c>
      <c r="L98" s="63">
        <f t="shared" si="39"/>
        <v>7508.74</v>
      </c>
      <c r="M98" s="63">
        <f t="shared" si="39"/>
        <v>145010.74</v>
      </c>
      <c r="N98" s="64">
        <f t="shared" si="39"/>
        <v>306669</v>
      </c>
      <c r="O98" s="63">
        <f t="shared" si="39"/>
        <v>32464.16</v>
      </c>
      <c r="P98" s="63">
        <f t="shared" si="39"/>
        <v>339133.16</v>
      </c>
      <c r="Q98" s="63">
        <f t="shared" si="39"/>
        <v>114494.64</v>
      </c>
      <c r="R98" s="63">
        <f t="shared" si="39"/>
        <v>94601.99</v>
      </c>
      <c r="S98" s="63">
        <f t="shared" si="39"/>
        <v>19892.650000000001</v>
      </c>
      <c r="T98" s="63">
        <f t="shared" si="39"/>
        <v>0</v>
      </c>
      <c r="U98" s="62">
        <f t="shared" si="39"/>
        <v>0</v>
      </c>
      <c r="V98" s="63">
        <f t="shared" si="39"/>
        <v>0</v>
      </c>
      <c r="W98" s="39"/>
      <c r="X98" s="66">
        <f>B98+F98+I98+K98+N98+R98</f>
        <v>814013.76</v>
      </c>
      <c r="Y98" s="67">
        <f>C98+G98+J98+L98+O98+S98</f>
        <v>69637.350000000006</v>
      </c>
      <c r="Z98" s="66">
        <f>D98+E98+H98+M98+P98+Q98</f>
        <v>883651.11</v>
      </c>
    </row>
    <row r="99" spans="1:26" ht="11.4" hidden="1" customHeight="1">
      <c r="A99" s="39">
        <v>7</v>
      </c>
      <c r="B99" s="85"/>
      <c r="C99" s="81"/>
      <c r="D99" s="81"/>
      <c r="E99" s="43">
        <v>41920.5</v>
      </c>
      <c r="F99" s="81">
        <v>40956.46</v>
      </c>
      <c r="G99" s="44">
        <f t="shared" si="6"/>
        <v>964.04</v>
      </c>
      <c r="H99" s="43">
        <v>53083.69</v>
      </c>
      <c r="I99" s="81">
        <v>51862.92</v>
      </c>
      <c r="J99" s="46">
        <f t="shared" si="5"/>
        <v>1220.77</v>
      </c>
      <c r="K99" s="68">
        <v>45834</v>
      </c>
      <c r="L99" s="41">
        <v>2071.7800000000002</v>
      </c>
      <c r="M99" s="42">
        <f t="shared" si="10"/>
        <v>47905.78</v>
      </c>
      <c r="N99" s="72">
        <v>102223</v>
      </c>
      <c r="O99" s="73">
        <v>9409.8799999999992</v>
      </c>
      <c r="P99" s="69">
        <f t="shared" si="12"/>
        <v>111632.88</v>
      </c>
      <c r="Q99" s="69">
        <f t="shared" si="32"/>
        <v>38164.879999999997</v>
      </c>
      <c r="R99" s="69">
        <v>32061.02</v>
      </c>
      <c r="S99" s="69">
        <v>6103.86</v>
      </c>
      <c r="T99" s="69"/>
      <c r="U99" s="72"/>
      <c r="V99" s="72"/>
      <c r="W99" s="39">
        <v>7</v>
      </c>
      <c r="X99" s="66"/>
      <c r="Y99" s="67"/>
      <c r="Z99" s="66"/>
    </row>
    <row r="100" spans="1:26" ht="11.4" hidden="1" customHeight="1">
      <c r="A100" s="39">
        <v>8</v>
      </c>
      <c r="B100" s="85"/>
      <c r="C100" s="81"/>
      <c r="D100" s="81"/>
      <c r="E100" s="43">
        <v>41920.5</v>
      </c>
      <c r="F100" s="81">
        <v>41195.370000000003</v>
      </c>
      <c r="G100" s="44">
        <f t="shared" si="6"/>
        <v>725.13</v>
      </c>
      <c r="H100" s="43">
        <v>53083.69</v>
      </c>
      <c r="I100" s="81">
        <v>52165.46</v>
      </c>
      <c r="J100" s="46">
        <f t="shared" si="5"/>
        <v>918.23</v>
      </c>
      <c r="K100" s="68">
        <v>45834</v>
      </c>
      <c r="L100" s="41">
        <v>1946.21</v>
      </c>
      <c r="M100" s="42">
        <f t="shared" si="10"/>
        <v>47780.21</v>
      </c>
      <c r="N100" s="72">
        <v>102223</v>
      </c>
      <c r="O100" s="73">
        <v>9115.7999999999993</v>
      </c>
      <c r="P100" s="69">
        <f t="shared" si="12"/>
        <v>111338.8</v>
      </c>
      <c r="Q100" s="69">
        <f t="shared" si="32"/>
        <v>38164.879999999997</v>
      </c>
      <c r="R100" s="69">
        <v>32328.19</v>
      </c>
      <c r="S100" s="69">
        <v>5836.69</v>
      </c>
      <c r="T100" s="69"/>
      <c r="U100" s="72"/>
      <c r="V100" s="72"/>
      <c r="W100" s="39">
        <v>8</v>
      </c>
      <c r="X100" s="66"/>
      <c r="Y100" s="67"/>
      <c r="Z100" s="66"/>
    </row>
    <row r="101" spans="1:26" ht="11.4" hidden="1" customHeight="1">
      <c r="A101" s="39">
        <v>9</v>
      </c>
      <c r="B101" s="85"/>
      <c r="C101" s="81"/>
      <c r="D101" s="81"/>
      <c r="E101" s="43">
        <v>41920.5</v>
      </c>
      <c r="F101" s="81">
        <v>41435.68</v>
      </c>
      <c r="G101" s="44">
        <f t="shared" si="6"/>
        <v>484.82</v>
      </c>
      <c r="H101" s="43">
        <v>53083.69</v>
      </c>
      <c r="I101" s="81">
        <v>52469.75</v>
      </c>
      <c r="J101" s="46">
        <f t="shared" si="5"/>
        <v>613.94000000000005</v>
      </c>
      <c r="K101" s="68">
        <v>45834</v>
      </c>
      <c r="L101" s="41">
        <v>1751.57</v>
      </c>
      <c r="M101" s="42">
        <f t="shared" si="10"/>
        <v>47585.57</v>
      </c>
      <c r="N101" s="72">
        <v>102223</v>
      </c>
      <c r="O101" s="73">
        <v>8508.06</v>
      </c>
      <c r="P101" s="69">
        <f t="shared" si="12"/>
        <v>110731.06</v>
      </c>
      <c r="Q101" s="69">
        <f t="shared" si="32"/>
        <v>38164.879999999997</v>
      </c>
      <c r="R101" s="69">
        <v>32597.599999999999</v>
      </c>
      <c r="S101" s="69">
        <v>5567.28</v>
      </c>
      <c r="T101" s="69">
        <v>88200</v>
      </c>
      <c r="U101" s="72">
        <v>74305.48</v>
      </c>
      <c r="V101" s="72">
        <f>T101+U101</f>
        <v>162505.48000000001</v>
      </c>
      <c r="W101" s="39">
        <v>9</v>
      </c>
      <c r="X101" s="66"/>
      <c r="Y101" s="67"/>
      <c r="Z101" s="66"/>
    </row>
    <row r="102" spans="1:26" ht="11.4" hidden="1" customHeight="1">
      <c r="A102" s="39"/>
      <c r="B102" s="85"/>
      <c r="C102" s="81"/>
      <c r="D102" s="81"/>
      <c r="E102" s="63">
        <f>SUM(E99:E101)</f>
        <v>125761.5</v>
      </c>
      <c r="F102" s="63">
        <f t="shared" ref="F102:U102" si="40">SUM(F99:F101)</f>
        <v>123587.51</v>
      </c>
      <c r="G102" s="63">
        <f t="shared" si="40"/>
        <v>2173.9899999999998</v>
      </c>
      <c r="H102" s="63">
        <f t="shared" si="40"/>
        <v>159251.07</v>
      </c>
      <c r="I102" s="63">
        <f t="shared" si="40"/>
        <v>156498.13</v>
      </c>
      <c r="J102" s="63">
        <f t="shared" si="40"/>
        <v>2752.94</v>
      </c>
      <c r="K102" s="63">
        <f t="shared" si="40"/>
        <v>137502</v>
      </c>
      <c r="L102" s="63">
        <f t="shared" si="40"/>
        <v>5769.56</v>
      </c>
      <c r="M102" s="63">
        <f t="shared" si="40"/>
        <v>143271.56</v>
      </c>
      <c r="N102" s="64">
        <f t="shared" si="40"/>
        <v>306669</v>
      </c>
      <c r="O102" s="63">
        <f t="shared" si="40"/>
        <v>27033.74</v>
      </c>
      <c r="P102" s="63">
        <f t="shared" si="40"/>
        <v>333702.74</v>
      </c>
      <c r="Q102" s="63">
        <f t="shared" si="40"/>
        <v>114494.64</v>
      </c>
      <c r="R102" s="63">
        <f t="shared" si="40"/>
        <v>96986.81</v>
      </c>
      <c r="S102" s="63">
        <f t="shared" si="40"/>
        <v>17507.830000000002</v>
      </c>
      <c r="T102" s="63">
        <f t="shared" si="40"/>
        <v>88200</v>
      </c>
      <c r="U102" s="62">
        <f t="shared" si="40"/>
        <v>74305.48</v>
      </c>
      <c r="V102" s="76">
        <f t="shared" ref="V102:V165" si="41">T102+U102</f>
        <v>162505.48000000001</v>
      </c>
      <c r="W102" s="39"/>
      <c r="X102" s="66">
        <f>B102+F102+I102+K102+N102+R102+T102</f>
        <v>909443.45</v>
      </c>
      <c r="Y102" s="67">
        <f>C102+G102+J102+L102+O102+S102+U102</f>
        <v>129543.54</v>
      </c>
      <c r="Z102" s="66">
        <f>D102+E102+H102+M102+P102+Q102+V102</f>
        <v>1038986.99</v>
      </c>
    </row>
    <row r="103" spans="1:26" ht="11.4" hidden="1" customHeight="1">
      <c r="A103" s="39">
        <v>10</v>
      </c>
      <c r="B103" s="85"/>
      <c r="C103" s="81"/>
      <c r="D103" s="81"/>
      <c r="E103" s="43">
        <v>41920.5</v>
      </c>
      <c r="F103" s="81">
        <v>41677.379999999997</v>
      </c>
      <c r="G103" s="44">
        <f t="shared" si="6"/>
        <v>243.12</v>
      </c>
      <c r="H103" s="43">
        <v>53083.69</v>
      </c>
      <c r="I103" s="81">
        <v>52775.83</v>
      </c>
      <c r="J103" s="46">
        <f t="shared" si="5"/>
        <v>307.86</v>
      </c>
      <c r="K103" s="68">
        <v>45834</v>
      </c>
      <c r="L103" s="41">
        <v>1506.71</v>
      </c>
      <c r="M103" s="42">
        <f t="shared" si="10"/>
        <v>47340.71</v>
      </c>
      <c r="N103" s="72">
        <v>102223</v>
      </c>
      <c r="O103" s="73">
        <v>7645.48</v>
      </c>
      <c r="P103" s="69">
        <f t="shared" si="12"/>
        <v>109868.48</v>
      </c>
      <c r="Q103" s="69">
        <f t="shared" si="32"/>
        <v>38164.879999999997</v>
      </c>
      <c r="R103" s="69">
        <v>32869.24</v>
      </c>
      <c r="S103" s="69">
        <v>5295.64</v>
      </c>
      <c r="T103" s="69">
        <v>88200</v>
      </c>
      <c r="U103" s="74">
        <v>53463.7</v>
      </c>
      <c r="V103" s="72">
        <f t="shared" si="41"/>
        <v>141663.70000000001</v>
      </c>
      <c r="W103" s="39">
        <v>10</v>
      </c>
      <c r="X103" s="66"/>
      <c r="Y103" s="67"/>
      <c r="Z103" s="66"/>
    </row>
    <row r="104" spans="1:26" ht="11.4" hidden="1" customHeight="1">
      <c r="A104" s="39">
        <v>11</v>
      </c>
      <c r="B104" s="85"/>
      <c r="C104" s="81"/>
      <c r="D104" s="81"/>
      <c r="E104" s="43">
        <v>0</v>
      </c>
      <c r="F104" s="43">
        <v>0</v>
      </c>
      <c r="G104" s="44">
        <f t="shared" si="6"/>
        <v>0</v>
      </c>
      <c r="H104" s="43">
        <v>0</v>
      </c>
      <c r="I104" s="43">
        <v>0</v>
      </c>
      <c r="J104" s="46">
        <f>H104-I104</f>
        <v>0</v>
      </c>
      <c r="K104" s="68">
        <v>45834</v>
      </c>
      <c r="L104" s="41">
        <v>1362.29</v>
      </c>
      <c r="M104" s="42">
        <f t="shared" si="10"/>
        <v>47196.29</v>
      </c>
      <c r="N104" s="72">
        <v>102223</v>
      </c>
      <c r="O104" s="73">
        <v>7292.59</v>
      </c>
      <c r="P104" s="69">
        <f t="shared" si="12"/>
        <v>109515.59</v>
      </c>
      <c r="Q104" s="69">
        <f t="shared" si="32"/>
        <v>38164.879999999997</v>
      </c>
      <c r="R104" s="69">
        <v>33143.15</v>
      </c>
      <c r="S104" s="69">
        <v>5021.7299999999996</v>
      </c>
      <c r="T104" s="69">
        <v>88200</v>
      </c>
      <c r="U104" s="72">
        <v>54309.45</v>
      </c>
      <c r="V104" s="72">
        <f t="shared" si="41"/>
        <v>142509.45000000001</v>
      </c>
      <c r="W104" s="39">
        <v>11</v>
      </c>
      <c r="X104" s="66"/>
      <c r="Y104" s="67"/>
      <c r="Z104" s="66"/>
    </row>
    <row r="105" spans="1:26" ht="11.4" hidden="1" customHeight="1">
      <c r="A105" s="39">
        <v>12</v>
      </c>
      <c r="B105" s="85"/>
      <c r="C105" s="81"/>
      <c r="D105" s="81"/>
      <c r="E105" s="43">
        <v>0</v>
      </c>
      <c r="F105" s="43">
        <v>0</v>
      </c>
      <c r="G105" s="44">
        <f t="shared" si="6"/>
        <v>0</v>
      </c>
      <c r="H105" s="43">
        <v>0</v>
      </c>
      <c r="I105" s="43">
        <v>0</v>
      </c>
      <c r="J105" s="46">
        <f>H105-I105</f>
        <v>0</v>
      </c>
      <c r="K105" s="68">
        <v>45834</v>
      </c>
      <c r="L105" s="41">
        <v>1129.99</v>
      </c>
      <c r="M105" s="42">
        <f t="shared" si="10"/>
        <v>46963.99</v>
      </c>
      <c r="N105" s="72">
        <v>102223</v>
      </c>
      <c r="O105" s="73">
        <v>6469.21</v>
      </c>
      <c r="P105" s="69">
        <f t="shared" si="12"/>
        <v>108692.21</v>
      </c>
      <c r="Q105" s="69">
        <f t="shared" si="32"/>
        <v>38164.879999999997</v>
      </c>
      <c r="R105" s="69">
        <v>33419.35</v>
      </c>
      <c r="S105" s="69">
        <v>4745.53</v>
      </c>
      <c r="T105" s="69">
        <v>88200</v>
      </c>
      <c r="U105" s="72">
        <v>51651.37</v>
      </c>
      <c r="V105" s="72">
        <f t="shared" si="41"/>
        <v>139851.37</v>
      </c>
      <c r="W105" s="39">
        <v>12</v>
      </c>
      <c r="X105" s="66"/>
      <c r="Y105" s="67"/>
      <c r="Z105" s="66"/>
    </row>
    <row r="106" spans="1:26" ht="11.4" hidden="1" customHeight="1">
      <c r="A106" s="39"/>
      <c r="B106" s="85"/>
      <c r="C106" s="81"/>
      <c r="D106" s="81"/>
      <c r="E106" s="63">
        <f>SUM(E103:E105)</f>
        <v>41920.5</v>
      </c>
      <c r="F106" s="63">
        <f t="shared" ref="F106:U106" si="42">SUM(F103:F105)</f>
        <v>41677.379999999997</v>
      </c>
      <c r="G106" s="63">
        <f t="shared" si="42"/>
        <v>243.12</v>
      </c>
      <c r="H106" s="63">
        <f t="shared" si="42"/>
        <v>53083.69</v>
      </c>
      <c r="I106" s="63">
        <f t="shared" si="42"/>
        <v>52775.83</v>
      </c>
      <c r="J106" s="63">
        <f t="shared" si="42"/>
        <v>307.86</v>
      </c>
      <c r="K106" s="63">
        <f t="shared" si="42"/>
        <v>137502</v>
      </c>
      <c r="L106" s="63">
        <f t="shared" si="42"/>
        <v>3998.99</v>
      </c>
      <c r="M106" s="63">
        <f t="shared" si="42"/>
        <v>141500.99</v>
      </c>
      <c r="N106" s="64">
        <f t="shared" si="42"/>
        <v>306669</v>
      </c>
      <c r="O106" s="63">
        <f t="shared" si="42"/>
        <v>21407.279999999999</v>
      </c>
      <c r="P106" s="63">
        <f t="shared" si="42"/>
        <v>328076.28000000003</v>
      </c>
      <c r="Q106" s="63">
        <f t="shared" si="42"/>
        <v>114494.64</v>
      </c>
      <c r="R106" s="63">
        <f t="shared" si="42"/>
        <v>99431.74</v>
      </c>
      <c r="S106" s="63">
        <f t="shared" si="42"/>
        <v>15062.9</v>
      </c>
      <c r="T106" s="63">
        <f t="shared" si="42"/>
        <v>264600</v>
      </c>
      <c r="U106" s="62">
        <f t="shared" si="42"/>
        <v>159424.51999999999</v>
      </c>
      <c r="V106" s="76">
        <f t="shared" si="41"/>
        <v>424024.52</v>
      </c>
      <c r="W106" s="39"/>
      <c r="X106" s="66">
        <f>B106+F106+I106+K106+N106+R106+T106</f>
        <v>902655.95</v>
      </c>
      <c r="Y106" s="67">
        <f>C106+G106+J106+L106+O106+S106+U106</f>
        <v>200444.67</v>
      </c>
      <c r="Z106" s="66">
        <f>D106+E106+H106+M106+P106+Q106+V106</f>
        <v>1103100.6200000001</v>
      </c>
    </row>
    <row r="107" spans="1:26" ht="11.4" hidden="1" customHeight="1">
      <c r="A107" s="77" t="s">
        <v>457</v>
      </c>
      <c r="B107" s="85"/>
      <c r="C107" s="81"/>
      <c r="D107" s="81"/>
      <c r="E107" s="58">
        <f>E94+E98+E102+E106</f>
        <v>419205</v>
      </c>
      <c r="F107" s="58">
        <f t="shared" ref="F107:U107" si="43">F94+F98+F102+F106</f>
        <v>406063.5</v>
      </c>
      <c r="G107" s="58">
        <f t="shared" si="43"/>
        <v>13141.5</v>
      </c>
      <c r="H107" s="58">
        <f t="shared" si="43"/>
        <v>530836.9</v>
      </c>
      <c r="I107" s="58">
        <f t="shared" si="43"/>
        <v>514195.83</v>
      </c>
      <c r="J107" s="58">
        <f t="shared" si="43"/>
        <v>16641.07</v>
      </c>
      <c r="K107" s="58">
        <f>K94+K98+K102+K106</f>
        <v>550008</v>
      </c>
      <c r="L107" s="58">
        <f t="shared" si="43"/>
        <v>26336.86</v>
      </c>
      <c r="M107" s="58">
        <f t="shared" si="43"/>
        <v>576344.86</v>
      </c>
      <c r="N107" s="54">
        <f t="shared" si="43"/>
        <v>1226676</v>
      </c>
      <c r="O107" s="58">
        <f t="shared" si="43"/>
        <v>118015.6</v>
      </c>
      <c r="P107" s="58">
        <f t="shared" si="43"/>
        <v>1344691.6</v>
      </c>
      <c r="Q107" s="58">
        <f t="shared" si="43"/>
        <v>457978.56</v>
      </c>
      <c r="R107" s="58">
        <f t="shared" si="43"/>
        <v>383296.36</v>
      </c>
      <c r="S107" s="58">
        <f t="shared" si="43"/>
        <v>74682.2</v>
      </c>
      <c r="T107" s="58">
        <f>T94+T98+T102+T106</f>
        <v>352800</v>
      </c>
      <c r="U107" s="59">
        <f t="shared" si="43"/>
        <v>233730</v>
      </c>
      <c r="V107" s="80">
        <f t="shared" si="41"/>
        <v>586530</v>
      </c>
      <c r="W107" s="77" t="s">
        <v>457</v>
      </c>
      <c r="X107" s="66">
        <f>B107+F107+I107+K107+N107+R107+T107</f>
        <v>3433039.69</v>
      </c>
      <c r="Y107" s="67">
        <f>C107+G107+J107+L107+O107+S107+U107</f>
        <v>482547.23</v>
      </c>
      <c r="Z107" s="66">
        <f>D107+E107+H107+M107+P107+Q107+V107</f>
        <v>3915586.92</v>
      </c>
    </row>
    <row r="108" spans="1:26" ht="11.4" customHeight="1">
      <c r="A108" s="39" t="s">
        <v>458</v>
      </c>
      <c r="B108" s="85"/>
      <c r="C108" s="81"/>
      <c r="D108" s="81"/>
      <c r="E108" s="81"/>
      <c r="F108" s="81"/>
      <c r="G108" s="81"/>
      <c r="H108" s="81"/>
      <c r="I108" s="81"/>
      <c r="J108" s="81"/>
      <c r="K108" s="68">
        <v>45834</v>
      </c>
      <c r="L108" s="41">
        <v>973.02</v>
      </c>
      <c r="M108" s="42">
        <f t="shared" si="10"/>
        <v>46807.02</v>
      </c>
      <c r="N108" s="72">
        <v>102223</v>
      </c>
      <c r="O108" s="73">
        <v>6077.12</v>
      </c>
      <c r="P108" s="69">
        <f t="shared" si="12"/>
        <v>108300.12</v>
      </c>
      <c r="Q108" s="69">
        <f t="shared" si="32"/>
        <v>38164.879999999997</v>
      </c>
      <c r="R108" s="69">
        <v>33697.839999999997</v>
      </c>
      <c r="S108" s="69">
        <v>4467.04</v>
      </c>
      <c r="T108" s="69">
        <v>88200</v>
      </c>
      <c r="U108" s="72">
        <v>52436.71</v>
      </c>
      <c r="V108" s="72">
        <f t="shared" si="41"/>
        <v>140636.71</v>
      </c>
      <c r="W108" s="39" t="s">
        <v>458</v>
      </c>
      <c r="X108" s="66">
        <f>X94+X98+X102+X106</f>
        <v>3433039.69</v>
      </c>
      <c r="Y108" s="66">
        <f>Y94+Y98+Y102+Y106</f>
        <v>482547.23</v>
      </c>
      <c r="Z108" s="66">
        <f t="shared" ref="Z108" si="44">Z94+Z98+Z102+Z106</f>
        <v>3915586.92</v>
      </c>
    </row>
    <row r="109" spans="1:26" ht="11.4" customHeight="1">
      <c r="A109" s="39">
        <v>2</v>
      </c>
      <c r="B109" s="85"/>
      <c r="C109" s="81"/>
      <c r="D109" s="81"/>
      <c r="E109" s="81"/>
      <c r="F109" s="81"/>
      <c r="G109" s="81"/>
      <c r="H109" s="81"/>
      <c r="I109" s="81"/>
      <c r="J109" s="81"/>
      <c r="K109" s="68">
        <v>45834</v>
      </c>
      <c r="L109" s="86">
        <v>778.38</v>
      </c>
      <c r="M109" s="42">
        <f t="shared" si="10"/>
        <v>46612.38</v>
      </c>
      <c r="N109" s="72">
        <v>102223</v>
      </c>
      <c r="O109" s="73">
        <v>5469.38</v>
      </c>
      <c r="P109" s="69">
        <f t="shared" si="12"/>
        <v>107692.38</v>
      </c>
      <c r="Q109" s="69">
        <f t="shared" si="32"/>
        <v>38164.879999999997</v>
      </c>
      <c r="R109" s="69">
        <v>33978.660000000003</v>
      </c>
      <c r="S109" s="69">
        <v>4186.22</v>
      </c>
      <c r="T109" s="69">
        <v>88200</v>
      </c>
      <c r="U109" s="74">
        <v>51500.34</v>
      </c>
      <c r="V109" s="72">
        <f t="shared" si="41"/>
        <v>139700.34</v>
      </c>
      <c r="W109" s="39">
        <v>2</v>
      </c>
      <c r="X109" s="66"/>
      <c r="Y109" s="66"/>
      <c r="Z109" s="66"/>
    </row>
    <row r="110" spans="1:26" ht="11.4" customHeight="1">
      <c r="A110" s="39">
        <v>3</v>
      </c>
      <c r="B110" s="85"/>
      <c r="C110" s="81"/>
      <c r="D110" s="81"/>
      <c r="E110" s="81"/>
      <c r="F110" s="81"/>
      <c r="G110" s="81"/>
      <c r="H110" s="81"/>
      <c r="I110" s="81"/>
      <c r="J110" s="81"/>
      <c r="K110" s="68">
        <v>45834</v>
      </c>
      <c r="L110" s="86">
        <v>546.08000000000004</v>
      </c>
      <c r="M110" s="42">
        <f t="shared" si="10"/>
        <v>46380.08</v>
      </c>
      <c r="N110" s="72">
        <v>102223</v>
      </c>
      <c r="O110" s="73">
        <v>4547.99</v>
      </c>
      <c r="P110" s="69">
        <f t="shared" si="12"/>
        <v>106770.99</v>
      </c>
      <c r="Q110" s="69">
        <f t="shared" si="32"/>
        <v>38164.879999999997</v>
      </c>
      <c r="R110" s="69">
        <v>34261.81</v>
      </c>
      <c r="S110" s="69">
        <v>3903.07</v>
      </c>
      <c r="T110" s="69">
        <v>88200</v>
      </c>
      <c r="U110" s="74">
        <v>47301.78</v>
      </c>
      <c r="V110" s="72">
        <f t="shared" si="41"/>
        <v>135501.78</v>
      </c>
      <c r="W110" s="39">
        <v>3</v>
      </c>
      <c r="X110" s="66"/>
      <c r="Y110" s="66"/>
      <c r="Z110" s="66"/>
    </row>
    <row r="111" spans="1:26" ht="11.4" customHeight="1">
      <c r="A111" s="39"/>
      <c r="B111" s="85"/>
      <c r="C111" s="81"/>
      <c r="D111" s="81"/>
      <c r="E111" s="81"/>
      <c r="F111" s="81"/>
      <c r="G111" s="81"/>
      <c r="H111" s="81"/>
      <c r="I111" s="81"/>
      <c r="J111" s="81"/>
      <c r="K111" s="109">
        <f>SUM(K108:K110)</f>
        <v>137502</v>
      </c>
      <c r="L111" s="109">
        <f t="shared" ref="L111:U111" si="45">SUM(L108:L110)</f>
        <v>2297.48</v>
      </c>
      <c r="M111" s="109">
        <f t="shared" si="45"/>
        <v>139799.48000000001</v>
      </c>
      <c r="N111" s="112">
        <f t="shared" si="45"/>
        <v>306669</v>
      </c>
      <c r="O111" s="288">
        <f t="shared" si="45"/>
        <v>16094.49</v>
      </c>
      <c r="P111" s="288">
        <f t="shared" si="45"/>
        <v>322763.49</v>
      </c>
      <c r="Q111" s="288">
        <f t="shared" si="45"/>
        <v>114494.64</v>
      </c>
      <c r="R111" s="288">
        <f t="shared" si="45"/>
        <v>101938.31</v>
      </c>
      <c r="S111" s="288">
        <f t="shared" si="45"/>
        <v>12556.33</v>
      </c>
      <c r="T111" s="288">
        <f t="shared" si="45"/>
        <v>264600</v>
      </c>
      <c r="U111" s="285">
        <f t="shared" si="45"/>
        <v>151238.82999999999</v>
      </c>
      <c r="V111" s="76">
        <f t="shared" si="41"/>
        <v>415838.83</v>
      </c>
      <c r="W111" s="39"/>
      <c r="X111" s="66">
        <f>B111+F111+I111+K111+N111+R111+T111</f>
        <v>810709.31</v>
      </c>
      <c r="Y111" s="67">
        <f>C111+G111+J111+L111+O111+S111+U111</f>
        <v>182187.13</v>
      </c>
      <c r="Z111" s="66">
        <f>D111+E111+H111+M111+P111+Q111+V111</f>
        <v>992896.44</v>
      </c>
    </row>
    <row r="112" spans="1:26" ht="11.4" customHeight="1">
      <c r="A112" s="39">
        <v>4</v>
      </c>
      <c r="B112" s="85"/>
      <c r="C112" s="81"/>
      <c r="D112" s="81"/>
      <c r="E112" s="81"/>
      <c r="F112" s="81"/>
      <c r="G112" s="81"/>
      <c r="H112" s="81"/>
      <c r="I112" s="81"/>
      <c r="J112" s="81"/>
      <c r="K112" s="68">
        <v>45834</v>
      </c>
      <c r="L112" s="86">
        <v>389.11</v>
      </c>
      <c r="M112" s="42">
        <f t="shared" si="10"/>
        <v>46223.11</v>
      </c>
      <c r="N112" s="72">
        <v>102223</v>
      </c>
      <c r="O112" s="73">
        <v>4253.91</v>
      </c>
      <c r="P112" s="69">
        <f t="shared" si="12"/>
        <v>106476.91</v>
      </c>
      <c r="Q112" s="69">
        <f t="shared" si="32"/>
        <v>38164.879999999997</v>
      </c>
      <c r="R112" s="69">
        <v>34547.33</v>
      </c>
      <c r="S112" s="69">
        <v>3617.55</v>
      </c>
      <c r="T112" s="69">
        <v>88200</v>
      </c>
      <c r="U112" s="72">
        <v>49627.6</v>
      </c>
      <c r="V112" s="72">
        <f t="shared" si="41"/>
        <v>137827.6</v>
      </c>
      <c r="W112" s="39">
        <v>4</v>
      </c>
      <c r="X112" s="66"/>
      <c r="Y112" s="67"/>
      <c r="Z112" s="66"/>
    </row>
    <row r="113" spans="1:27" ht="11.4" customHeight="1">
      <c r="A113" s="39">
        <v>5</v>
      </c>
      <c r="B113" s="85"/>
      <c r="C113" s="81"/>
      <c r="D113" s="81"/>
      <c r="E113" s="81"/>
      <c r="F113" s="81"/>
      <c r="G113" s="81"/>
      <c r="H113" s="81"/>
      <c r="I113" s="81"/>
      <c r="J113" s="81"/>
      <c r="K113" s="68">
        <v>45794</v>
      </c>
      <c r="L113" s="86">
        <v>181.92</v>
      </c>
      <c r="M113" s="42">
        <f t="shared" si="10"/>
        <v>45975.92</v>
      </c>
      <c r="N113" s="72">
        <v>102223</v>
      </c>
      <c r="O113" s="73">
        <v>3528.55</v>
      </c>
      <c r="P113" s="69">
        <f t="shared" si="12"/>
        <v>105751.55</v>
      </c>
      <c r="Q113" s="69">
        <f t="shared" si="32"/>
        <v>38164.879999999997</v>
      </c>
      <c r="R113" s="69">
        <v>34835.22</v>
      </c>
      <c r="S113" s="69">
        <v>3329.66</v>
      </c>
      <c r="T113" s="69">
        <v>88200</v>
      </c>
      <c r="U113" s="72">
        <v>47120.55</v>
      </c>
      <c r="V113" s="72">
        <f t="shared" si="41"/>
        <v>135320.54999999999</v>
      </c>
      <c r="W113" s="39">
        <v>5</v>
      </c>
      <c r="X113" s="66"/>
      <c r="Y113" s="67"/>
      <c r="Z113" s="66"/>
    </row>
    <row r="114" spans="1:27" ht="11.4" customHeight="1">
      <c r="A114" s="39">
        <v>6</v>
      </c>
      <c r="B114" s="85"/>
      <c r="C114" s="81"/>
      <c r="D114" s="81"/>
      <c r="E114" s="81"/>
      <c r="F114" s="81"/>
      <c r="G114" s="81"/>
      <c r="H114" s="81"/>
      <c r="I114" s="81"/>
      <c r="J114" s="81"/>
      <c r="K114" s="87"/>
      <c r="L114" s="88"/>
      <c r="M114" s="89"/>
      <c r="N114" s="72">
        <v>102223</v>
      </c>
      <c r="O114" s="73">
        <v>3038.43</v>
      </c>
      <c r="P114" s="69">
        <f t="shared" si="12"/>
        <v>105261.43</v>
      </c>
      <c r="Q114" s="69">
        <f t="shared" si="32"/>
        <v>38164.879999999997</v>
      </c>
      <c r="R114" s="69">
        <v>35125.51</v>
      </c>
      <c r="S114" s="69">
        <v>3039.37</v>
      </c>
      <c r="T114" s="69">
        <v>88200</v>
      </c>
      <c r="U114" s="72">
        <v>47754.86</v>
      </c>
      <c r="V114" s="72">
        <f t="shared" si="41"/>
        <v>135954.85999999999</v>
      </c>
      <c r="W114" s="39">
        <v>6</v>
      </c>
      <c r="X114" s="66"/>
      <c r="Y114" s="67"/>
      <c r="Z114" s="66"/>
    </row>
    <row r="115" spans="1:27" ht="11.4" customHeight="1">
      <c r="A115" s="39"/>
      <c r="B115" s="85"/>
      <c r="C115" s="81"/>
      <c r="D115" s="81"/>
      <c r="E115" s="81"/>
      <c r="F115" s="81"/>
      <c r="G115" s="81"/>
      <c r="H115" s="81"/>
      <c r="I115" s="81"/>
      <c r="J115" s="81"/>
      <c r="K115" s="110">
        <f>SUM(K112:K114)</f>
        <v>91628</v>
      </c>
      <c r="L115" s="110">
        <f t="shared" ref="L115:U115" si="46">SUM(L112:L114)</f>
        <v>571.03</v>
      </c>
      <c r="M115" s="110">
        <f t="shared" si="46"/>
        <v>92199.03</v>
      </c>
      <c r="N115" s="113">
        <f t="shared" si="46"/>
        <v>306669</v>
      </c>
      <c r="O115" s="275">
        <f t="shared" si="46"/>
        <v>10820.89</v>
      </c>
      <c r="P115" s="275">
        <f t="shared" si="46"/>
        <v>317489.89</v>
      </c>
      <c r="Q115" s="275">
        <f t="shared" si="46"/>
        <v>114494.64</v>
      </c>
      <c r="R115" s="275">
        <f t="shared" si="46"/>
        <v>104508.06</v>
      </c>
      <c r="S115" s="275">
        <f t="shared" si="46"/>
        <v>9986.58</v>
      </c>
      <c r="T115" s="275">
        <f t="shared" si="46"/>
        <v>264600</v>
      </c>
      <c r="U115" s="286">
        <f t="shared" si="46"/>
        <v>144503.01</v>
      </c>
      <c r="V115" s="76">
        <f t="shared" si="41"/>
        <v>409103.01</v>
      </c>
      <c r="W115" s="39"/>
      <c r="X115" s="66">
        <f>B115+F115+I115+K115+N115+R115+T115</f>
        <v>767405.06</v>
      </c>
      <c r="Y115" s="67">
        <f>C115+G115+J115+L115+O115+S115+U115</f>
        <v>165881.51</v>
      </c>
      <c r="Z115" s="66">
        <f t="shared" ref="Z115:Z175" si="47">D115+E115+H115+M115+P115+Q115+V115</f>
        <v>933286.57</v>
      </c>
    </row>
    <row r="116" spans="1:27" ht="11.4" customHeight="1">
      <c r="A116" s="39">
        <v>7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90"/>
      <c r="L116" s="81"/>
      <c r="M116" s="42"/>
      <c r="N116" s="72">
        <v>102223</v>
      </c>
      <c r="O116" s="73">
        <v>2352.29</v>
      </c>
      <c r="P116" s="69">
        <f t="shared" si="12"/>
        <v>104575.29</v>
      </c>
      <c r="Q116" s="69">
        <f t="shared" si="32"/>
        <v>38164.879999999997</v>
      </c>
      <c r="R116" s="69">
        <v>35418.230000000003</v>
      </c>
      <c r="S116" s="69">
        <v>2746.65</v>
      </c>
      <c r="T116" s="69">
        <v>88200</v>
      </c>
      <c r="U116" s="287">
        <v>45308.22</v>
      </c>
      <c r="V116" s="72">
        <f t="shared" si="41"/>
        <v>133508.22</v>
      </c>
      <c r="W116" s="39">
        <v>7</v>
      </c>
      <c r="X116" s="66"/>
      <c r="Y116" s="67"/>
      <c r="Z116" s="66"/>
    </row>
    <row r="117" spans="1:27" ht="11.4" customHeight="1">
      <c r="A117" s="39">
        <v>8</v>
      </c>
      <c r="B117" s="81"/>
      <c r="C117" s="81"/>
      <c r="D117" s="81"/>
      <c r="E117" s="81"/>
      <c r="F117" s="81"/>
      <c r="G117" s="81"/>
      <c r="H117" s="81"/>
      <c r="I117" s="81"/>
      <c r="J117" s="81"/>
      <c r="K117" s="90"/>
      <c r="L117" s="81"/>
      <c r="M117" s="82"/>
      <c r="N117" s="72">
        <v>102223</v>
      </c>
      <c r="O117" s="73">
        <v>1822.96</v>
      </c>
      <c r="P117" s="69">
        <f t="shared" si="12"/>
        <v>104045.96</v>
      </c>
      <c r="Q117" s="69">
        <f t="shared" si="32"/>
        <v>38164.879999999997</v>
      </c>
      <c r="R117" s="69">
        <v>35713.379999999997</v>
      </c>
      <c r="S117" s="69">
        <v>2451.5</v>
      </c>
      <c r="T117" s="69">
        <v>88200</v>
      </c>
      <c r="U117" s="72">
        <v>45882.12</v>
      </c>
      <c r="V117" s="72">
        <f t="shared" si="41"/>
        <v>134082.12</v>
      </c>
      <c r="W117" s="39">
        <v>8</v>
      </c>
      <c r="X117" s="66"/>
      <c r="Y117" s="67"/>
      <c r="Z117" s="66"/>
    </row>
    <row r="118" spans="1:27" ht="11.4" customHeight="1">
      <c r="A118" s="39">
        <v>9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90"/>
      <c r="L118" s="81"/>
      <c r="M118" s="82"/>
      <c r="N118" s="74">
        <v>204404</v>
      </c>
      <c r="O118" s="73">
        <v>1607.15</v>
      </c>
      <c r="P118" s="69">
        <f t="shared" si="12"/>
        <v>206011.15</v>
      </c>
      <c r="Q118" s="69">
        <f t="shared" si="32"/>
        <v>38164.879999999997</v>
      </c>
      <c r="R118" s="69">
        <v>36010.99</v>
      </c>
      <c r="S118" s="69">
        <v>2153.89</v>
      </c>
      <c r="T118" s="69">
        <v>88200</v>
      </c>
      <c r="U118" s="72">
        <v>44945.75</v>
      </c>
      <c r="V118" s="72">
        <f t="shared" si="41"/>
        <v>133145.75</v>
      </c>
      <c r="W118" s="39">
        <v>9</v>
      </c>
      <c r="X118" s="66"/>
      <c r="Y118" s="67"/>
      <c r="Z118" s="66"/>
    </row>
    <row r="119" spans="1:27" ht="11.4" customHeight="1">
      <c r="A119" s="39"/>
      <c r="B119" s="81"/>
      <c r="C119" s="81"/>
      <c r="D119" s="81"/>
      <c r="E119" s="81"/>
      <c r="F119" s="81"/>
      <c r="G119" s="81"/>
      <c r="H119" s="81"/>
      <c r="I119" s="81"/>
      <c r="J119" s="81"/>
      <c r="K119" s="90"/>
      <c r="L119" s="81"/>
      <c r="M119" s="82"/>
      <c r="N119" s="96">
        <f>SUM(N116:N118)</f>
        <v>408850</v>
      </c>
      <c r="O119" s="63">
        <f t="shared" ref="O119:U119" si="48">SUM(O116:O118)</f>
        <v>5782.4</v>
      </c>
      <c r="P119" s="63">
        <f t="shared" si="48"/>
        <v>414632.4</v>
      </c>
      <c r="Q119" s="63">
        <f t="shared" si="48"/>
        <v>114494.64</v>
      </c>
      <c r="R119" s="63">
        <f t="shared" si="48"/>
        <v>107142.6</v>
      </c>
      <c r="S119" s="63">
        <f t="shared" si="48"/>
        <v>7352.04</v>
      </c>
      <c r="T119" s="63">
        <f t="shared" si="48"/>
        <v>264600</v>
      </c>
      <c r="U119" s="62">
        <f t="shared" si="48"/>
        <v>136136.09</v>
      </c>
      <c r="V119" s="76">
        <f t="shared" si="41"/>
        <v>400736.09</v>
      </c>
      <c r="W119" s="39"/>
      <c r="X119" s="66">
        <f>B119+F119+I119+K119+N119+R119+T119</f>
        <v>780592.6</v>
      </c>
      <c r="Y119" s="67">
        <f>C119+G119+J119+L119+O119+S119+U119</f>
        <v>149270.53</v>
      </c>
      <c r="Z119" s="66">
        <f t="shared" si="47"/>
        <v>929863.13</v>
      </c>
    </row>
    <row r="120" spans="1:27" ht="11.4" customHeight="1">
      <c r="A120" s="39">
        <v>10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90"/>
      <c r="L120" s="81"/>
      <c r="M120" s="82"/>
      <c r="N120" s="80"/>
      <c r="O120" s="79"/>
      <c r="P120" s="88"/>
      <c r="Q120" s="69">
        <f t="shared" si="32"/>
        <v>38164.879999999997</v>
      </c>
      <c r="R120" s="69">
        <v>36311.08</v>
      </c>
      <c r="S120" s="69">
        <v>1853.8</v>
      </c>
      <c r="T120" s="69">
        <v>88200</v>
      </c>
      <c r="U120" s="72">
        <v>42589.73</v>
      </c>
      <c r="V120" s="72">
        <f t="shared" si="41"/>
        <v>130789.73</v>
      </c>
      <c r="W120" s="39">
        <v>10</v>
      </c>
      <c r="X120" s="66"/>
      <c r="Y120" s="67"/>
      <c r="Z120" s="66"/>
    </row>
    <row r="121" spans="1:27" ht="11.4" customHeight="1">
      <c r="A121" s="39">
        <v>11</v>
      </c>
      <c r="B121" s="81"/>
      <c r="C121" s="81"/>
      <c r="D121" s="81"/>
      <c r="E121" s="81"/>
      <c r="F121" s="81"/>
      <c r="G121" s="81"/>
      <c r="H121" s="81"/>
      <c r="I121" s="81"/>
      <c r="J121" s="81"/>
      <c r="K121" s="90"/>
      <c r="L121" s="81"/>
      <c r="M121" s="82"/>
      <c r="N121" s="80"/>
      <c r="O121" s="79"/>
      <c r="P121" s="69"/>
      <c r="Q121" s="69">
        <f t="shared" si="32"/>
        <v>38164.879999999997</v>
      </c>
      <c r="R121" s="69">
        <v>36613.67</v>
      </c>
      <c r="S121" s="69">
        <v>1551.21</v>
      </c>
      <c r="T121" s="69">
        <v>88200</v>
      </c>
      <c r="U121" s="72">
        <v>43073.01</v>
      </c>
      <c r="V121" s="72">
        <f t="shared" si="41"/>
        <v>131273.01</v>
      </c>
      <c r="W121" s="92">
        <v>11</v>
      </c>
      <c r="X121" s="66"/>
      <c r="Y121" s="67"/>
      <c r="Z121" s="66"/>
    </row>
    <row r="122" spans="1:27" ht="11.4" customHeight="1">
      <c r="A122" s="39">
        <v>12</v>
      </c>
      <c r="B122" s="81"/>
      <c r="C122" s="81"/>
      <c r="D122" s="81"/>
      <c r="E122" s="81"/>
      <c r="F122" s="81"/>
      <c r="G122" s="81"/>
      <c r="H122" s="81"/>
      <c r="I122" s="81"/>
      <c r="J122" s="81"/>
      <c r="K122" s="90"/>
      <c r="L122" s="81"/>
      <c r="M122" s="82"/>
      <c r="N122" s="108"/>
      <c r="O122" s="75"/>
      <c r="P122" s="69"/>
      <c r="Q122" s="69">
        <f t="shared" si="32"/>
        <v>38164.879999999997</v>
      </c>
      <c r="R122" s="69">
        <v>36918.79</v>
      </c>
      <c r="S122" s="69">
        <v>1246.0899999999999</v>
      </c>
      <c r="T122" s="69">
        <v>88200</v>
      </c>
      <c r="U122" s="72">
        <v>40777.4</v>
      </c>
      <c r="V122" s="72">
        <f t="shared" si="41"/>
        <v>128977.4</v>
      </c>
      <c r="W122" s="92">
        <v>12</v>
      </c>
      <c r="X122" s="66"/>
      <c r="Y122" s="67"/>
      <c r="Z122" s="66"/>
    </row>
    <row r="123" spans="1:27" ht="11.4" customHeight="1">
      <c r="A123" s="39"/>
      <c r="B123" s="81"/>
      <c r="C123" s="81"/>
      <c r="D123" s="81"/>
      <c r="E123" s="81"/>
      <c r="F123" s="81"/>
      <c r="G123" s="81"/>
      <c r="H123" s="81"/>
      <c r="I123" s="81"/>
      <c r="J123" s="81"/>
      <c r="K123" s="90"/>
      <c r="L123" s="85"/>
      <c r="M123" s="108"/>
      <c r="N123" s="108"/>
      <c r="O123" s="75"/>
      <c r="P123" s="69"/>
      <c r="Q123" s="275">
        <f>SUM(Q120:Q122)</f>
        <v>114494.64</v>
      </c>
      <c r="R123" s="275">
        <f t="shared" ref="R123:U123" si="49">SUM(R120:R122)</f>
        <v>109843.54</v>
      </c>
      <c r="S123" s="275">
        <f t="shared" si="49"/>
        <v>4651.1000000000004</v>
      </c>
      <c r="T123" s="275">
        <f t="shared" si="49"/>
        <v>264600</v>
      </c>
      <c r="U123" s="76">
        <f t="shared" si="49"/>
        <v>126440.14</v>
      </c>
      <c r="V123" s="76">
        <f t="shared" si="41"/>
        <v>391040.14</v>
      </c>
      <c r="W123" s="92"/>
      <c r="X123" s="66">
        <f t="shared" ref="X123" si="50">B123+F123+I123+K123+N123+R123+T123</f>
        <v>374443.54</v>
      </c>
      <c r="Y123" s="67">
        <f>C123+G123+J123+L123+O123+S123+U123</f>
        <v>131091.24</v>
      </c>
      <c r="Z123" s="66">
        <f t="shared" si="47"/>
        <v>505534.78</v>
      </c>
    </row>
    <row r="124" spans="1:27" ht="11.4" customHeight="1">
      <c r="A124" s="77" t="s">
        <v>459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7">
        <f>K111+K115+K119+K123</f>
        <v>229130</v>
      </c>
      <c r="L124" s="87">
        <f t="shared" ref="L124:U124" si="51">L111+L115+L119+L123</f>
        <v>2868.51</v>
      </c>
      <c r="M124" s="87">
        <f t="shared" si="51"/>
        <v>231998.51</v>
      </c>
      <c r="N124" s="282">
        <f t="shared" si="51"/>
        <v>1022188</v>
      </c>
      <c r="O124" s="88">
        <f t="shared" si="51"/>
        <v>32697.78</v>
      </c>
      <c r="P124" s="88">
        <f t="shared" si="51"/>
        <v>1054885.78</v>
      </c>
      <c r="Q124" s="88">
        <f t="shared" si="51"/>
        <v>457978.56</v>
      </c>
      <c r="R124" s="88">
        <f>R111+R115+R119+R123</f>
        <v>423432.51</v>
      </c>
      <c r="S124" s="88">
        <f t="shared" si="51"/>
        <v>34546.050000000003</v>
      </c>
      <c r="T124" s="88">
        <f>T111+T115+T119+T123</f>
        <v>1058400</v>
      </c>
      <c r="U124" s="91">
        <f t="shared" si="51"/>
        <v>558318.06999999995</v>
      </c>
      <c r="V124" s="80">
        <f t="shared" si="41"/>
        <v>1616718.07</v>
      </c>
      <c r="W124" s="84" t="s">
        <v>459</v>
      </c>
      <c r="X124" s="66">
        <f>B124+F124+I124+K124+N124+R124+T124</f>
        <v>2733150.51</v>
      </c>
      <c r="Y124" s="67">
        <f>C124+G124+J124+L124+O124+S124+U124</f>
        <v>628430.41</v>
      </c>
      <c r="Z124" s="66">
        <f t="shared" si="47"/>
        <v>3361580.92</v>
      </c>
      <c r="AA124" s="293"/>
    </row>
    <row r="125" spans="1:27" ht="11.4" customHeight="1">
      <c r="A125" s="84"/>
      <c r="B125" s="81"/>
      <c r="C125" s="81"/>
      <c r="D125" s="81"/>
      <c r="E125" s="81"/>
      <c r="F125" s="81"/>
      <c r="G125" s="81"/>
      <c r="H125" s="81"/>
      <c r="I125" s="81"/>
      <c r="J125" s="81"/>
      <c r="K125" s="88"/>
      <c r="L125" s="88"/>
      <c r="M125" s="88"/>
      <c r="N125" s="89"/>
      <c r="O125" s="88"/>
      <c r="P125" s="88"/>
      <c r="Q125" s="69">
        <f t="shared" ref="Q125:Q127" si="52">R125+S125</f>
        <v>38164.879999999997</v>
      </c>
      <c r="R125" s="69">
        <v>37226.44</v>
      </c>
      <c r="S125" s="69">
        <v>938.44</v>
      </c>
      <c r="T125" s="69">
        <v>88200</v>
      </c>
      <c r="U125" s="72">
        <v>41200.269999999997</v>
      </c>
      <c r="V125" s="72">
        <f t="shared" si="41"/>
        <v>129400.27</v>
      </c>
      <c r="W125" s="39" t="s">
        <v>562</v>
      </c>
      <c r="X125" s="66">
        <f t="shared" ref="X125:Z125" si="53">X111+X115+X119+X123</f>
        <v>2733150.51</v>
      </c>
      <c r="Y125" s="66">
        <f t="shared" si="53"/>
        <v>628430.41</v>
      </c>
      <c r="Z125" s="66">
        <f t="shared" si="53"/>
        <v>3361580.92</v>
      </c>
    </row>
    <row r="126" spans="1:27" ht="11.4" customHeight="1">
      <c r="A126" s="84"/>
      <c r="B126" s="81"/>
      <c r="C126" s="81"/>
      <c r="D126" s="81"/>
      <c r="E126" s="81"/>
      <c r="F126" s="81"/>
      <c r="G126" s="81"/>
      <c r="H126" s="81"/>
      <c r="I126" s="81"/>
      <c r="J126" s="81"/>
      <c r="K126" s="88"/>
      <c r="L126" s="88"/>
      <c r="M126" s="88"/>
      <c r="N126" s="89"/>
      <c r="O126" s="88"/>
      <c r="P126" s="88"/>
      <c r="Q126" s="69">
        <f t="shared" si="52"/>
        <v>38164.879999999997</v>
      </c>
      <c r="R126" s="69">
        <v>37536.660000000003</v>
      </c>
      <c r="S126" s="69">
        <v>628.22</v>
      </c>
      <c r="T126" s="69">
        <v>88200</v>
      </c>
      <c r="U126" s="72">
        <v>40263.9</v>
      </c>
      <c r="V126" s="72">
        <f t="shared" si="41"/>
        <v>128463.9</v>
      </c>
      <c r="W126" s="39">
        <v>2</v>
      </c>
      <c r="X126" s="66"/>
      <c r="Y126" s="67"/>
      <c r="Z126" s="66"/>
    </row>
    <row r="127" spans="1:27" ht="11.4" customHeight="1">
      <c r="A127" s="84"/>
      <c r="B127" s="81"/>
      <c r="C127" s="81"/>
      <c r="D127" s="81"/>
      <c r="E127" s="81"/>
      <c r="F127" s="81"/>
      <c r="G127" s="81"/>
      <c r="H127" s="81"/>
      <c r="I127" s="81"/>
      <c r="J127" s="81"/>
      <c r="K127" s="88"/>
      <c r="L127" s="88"/>
      <c r="M127" s="88"/>
      <c r="N127" s="89"/>
      <c r="O127" s="88"/>
      <c r="P127" s="88"/>
      <c r="Q127" s="69">
        <f t="shared" si="52"/>
        <v>38164.629999999997</v>
      </c>
      <c r="R127" s="69">
        <v>37849.22</v>
      </c>
      <c r="S127" s="69">
        <v>315.41000000000003</v>
      </c>
      <c r="T127" s="69">
        <v>88200</v>
      </c>
      <c r="U127" s="74">
        <v>35521.64</v>
      </c>
      <c r="V127" s="72">
        <f t="shared" si="41"/>
        <v>123721.64</v>
      </c>
      <c r="W127" s="39">
        <v>3</v>
      </c>
      <c r="X127" s="66"/>
      <c r="Y127" s="67"/>
      <c r="Z127" s="66"/>
    </row>
    <row r="128" spans="1:27" s="274" customFormat="1" ht="11.4" customHeight="1">
      <c r="A128" s="273"/>
      <c r="B128" s="271"/>
      <c r="C128" s="271"/>
      <c r="D128" s="271"/>
      <c r="E128" s="271"/>
      <c r="F128" s="271"/>
      <c r="G128" s="271"/>
      <c r="H128" s="271"/>
      <c r="I128" s="271"/>
      <c r="J128" s="271"/>
      <c r="K128" s="275"/>
      <c r="L128" s="275"/>
      <c r="M128" s="275"/>
      <c r="N128" s="283"/>
      <c r="O128" s="275"/>
      <c r="P128" s="275"/>
      <c r="Q128" s="275">
        <f t="shared" ref="Q128:S128" si="54">SUM(Q125:Q127)</f>
        <v>114494.39</v>
      </c>
      <c r="R128" s="275">
        <f t="shared" si="54"/>
        <v>112612.32</v>
      </c>
      <c r="S128" s="275">
        <f t="shared" si="54"/>
        <v>1882.07</v>
      </c>
      <c r="T128" s="275">
        <f>SUM(T125:T127)</f>
        <v>264600</v>
      </c>
      <c r="U128" s="286">
        <f t="shared" ref="U128" si="55">SUM(U125:U127)</f>
        <v>116985.81</v>
      </c>
      <c r="V128" s="76">
        <f t="shared" si="41"/>
        <v>381585.81</v>
      </c>
      <c r="W128" s="276"/>
      <c r="X128" s="66">
        <f t="shared" ref="X128:X187" si="56">B128+F128+I128+K128+N128+R128+T128</f>
        <v>377212.32</v>
      </c>
      <c r="Y128" s="67">
        <f t="shared" ref="Y128:Y187" si="57">C128+G128+J128+L128+O128+S128+U128</f>
        <v>118867.88</v>
      </c>
      <c r="Z128" s="66">
        <f t="shared" si="47"/>
        <v>496080.2</v>
      </c>
    </row>
    <row r="129" spans="1:26" ht="11.4" customHeight="1">
      <c r="A129" s="84"/>
      <c r="B129" s="81"/>
      <c r="C129" s="81"/>
      <c r="D129" s="81"/>
      <c r="E129" s="81"/>
      <c r="F129" s="81"/>
      <c r="G129" s="81"/>
      <c r="H129" s="81"/>
      <c r="I129" s="81"/>
      <c r="J129" s="81"/>
      <c r="K129" s="88"/>
      <c r="L129" s="88"/>
      <c r="M129" s="88"/>
      <c r="N129" s="89"/>
      <c r="O129" s="88"/>
      <c r="P129" s="88"/>
      <c r="Q129" s="88"/>
      <c r="R129" s="88"/>
      <c r="S129" s="88"/>
      <c r="T129" s="69">
        <v>88200</v>
      </c>
      <c r="U129" s="72">
        <v>38391.160000000003</v>
      </c>
      <c r="V129" s="72">
        <f t="shared" si="41"/>
        <v>126591.16</v>
      </c>
      <c r="W129" s="39">
        <v>4</v>
      </c>
      <c r="X129" s="66"/>
      <c r="Y129" s="67"/>
      <c r="Z129" s="66"/>
    </row>
    <row r="130" spans="1:26" ht="11.4" customHeight="1">
      <c r="A130" s="84"/>
      <c r="B130" s="81"/>
      <c r="C130" s="81"/>
      <c r="D130" s="81"/>
      <c r="E130" s="81"/>
      <c r="F130" s="81"/>
      <c r="G130" s="81"/>
      <c r="H130" s="81"/>
      <c r="I130" s="81"/>
      <c r="J130" s="81"/>
      <c r="K130" s="88"/>
      <c r="L130" s="88"/>
      <c r="M130" s="88"/>
      <c r="N130" s="89"/>
      <c r="O130" s="88"/>
      <c r="P130" s="88"/>
      <c r="Q130" s="88"/>
      <c r="R130" s="88"/>
      <c r="S130" s="88"/>
      <c r="T130" s="69">
        <v>88200</v>
      </c>
      <c r="U130" s="72">
        <v>36246.58</v>
      </c>
      <c r="V130" s="72">
        <f t="shared" si="41"/>
        <v>124446.58</v>
      </c>
      <c r="W130" s="39">
        <v>5</v>
      </c>
      <c r="X130" s="66"/>
      <c r="Y130" s="67"/>
      <c r="Z130" s="66"/>
    </row>
    <row r="131" spans="1:26" ht="11.4" customHeight="1">
      <c r="A131" s="84"/>
      <c r="B131" s="81"/>
      <c r="C131" s="81"/>
      <c r="D131" s="81"/>
      <c r="E131" s="81"/>
      <c r="F131" s="81"/>
      <c r="G131" s="81"/>
      <c r="H131" s="81"/>
      <c r="I131" s="81"/>
      <c r="J131" s="81"/>
      <c r="K131" s="88"/>
      <c r="L131" s="88"/>
      <c r="M131" s="88"/>
      <c r="N131" s="89"/>
      <c r="O131" s="88"/>
      <c r="P131" s="88"/>
      <c r="Q131" s="88"/>
      <c r="R131" s="88"/>
      <c r="S131" s="88"/>
      <c r="T131" s="69">
        <v>88200</v>
      </c>
      <c r="U131" s="72">
        <v>36518.42</v>
      </c>
      <c r="V131" s="72">
        <f t="shared" si="41"/>
        <v>124718.42</v>
      </c>
      <c r="W131" s="39">
        <v>6</v>
      </c>
      <c r="X131" s="66"/>
      <c r="Y131" s="67"/>
      <c r="Z131" s="66"/>
    </row>
    <row r="132" spans="1:26" ht="11.4" customHeight="1">
      <c r="A132" s="84"/>
      <c r="B132" s="81"/>
      <c r="C132" s="81"/>
      <c r="D132" s="81"/>
      <c r="E132" s="81"/>
      <c r="F132" s="81"/>
      <c r="G132" s="81"/>
      <c r="H132" s="81"/>
      <c r="I132" s="81"/>
      <c r="J132" s="81"/>
      <c r="K132" s="275"/>
      <c r="L132" s="275"/>
      <c r="M132" s="275"/>
      <c r="N132" s="283"/>
      <c r="O132" s="275"/>
      <c r="P132" s="275"/>
      <c r="Q132" s="275"/>
      <c r="R132" s="275"/>
      <c r="S132" s="275"/>
      <c r="T132" s="275">
        <f>SUM(T129:T131)</f>
        <v>264600</v>
      </c>
      <c r="U132" s="286">
        <f t="shared" ref="U132" si="58">SUM(U129:U131)</f>
        <v>111156.16</v>
      </c>
      <c r="V132" s="76">
        <f t="shared" si="41"/>
        <v>375756.16</v>
      </c>
      <c r="W132" s="276"/>
      <c r="X132" s="66">
        <f t="shared" si="56"/>
        <v>264600</v>
      </c>
      <c r="Y132" s="67">
        <f t="shared" si="57"/>
        <v>111156.16</v>
      </c>
      <c r="Z132" s="66">
        <f t="shared" si="47"/>
        <v>375756.16</v>
      </c>
    </row>
    <row r="133" spans="1:26" ht="11.4" customHeight="1">
      <c r="A133" s="84"/>
      <c r="B133" s="81"/>
      <c r="C133" s="81"/>
      <c r="D133" s="81"/>
      <c r="E133" s="81"/>
      <c r="F133" s="81"/>
      <c r="G133" s="81"/>
      <c r="H133" s="81"/>
      <c r="I133" s="81"/>
      <c r="J133" s="81"/>
      <c r="K133" s="88"/>
      <c r="L133" s="88"/>
      <c r="M133" s="88"/>
      <c r="N133" s="89"/>
      <c r="O133" s="88"/>
      <c r="P133" s="88"/>
      <c r="Q133" s="88"/>
      <c r="R133" s="88"/>
      <c r="S133" s="88"/>
      <c r="T133" s="69">
        <v>88200</v>
      </c>
      <c r="U133" s="72">
        <v>34434.25</v>
      </c>
      <c r="V133" s="72">
        <f t="shared" si="41"/>
        <v>122634.25</v>
      </c>
      <c r="W133" s="39">
        <v>7</v>
      </c>
      <c r="X133" s="66"/>
      <c r="Y133" s="67"/>
      <c r="Z133" s="66"/>
    </row>
    <row r="134" spans="1:26" ht="11.4" customHeight="1">
      <c r="A134" s="84"/>
      <c r="B134" s="81"/>
      <c r="C134" s="81"/>
      <c r="D134" s="81"/>
      <c r="E134" s="81"/>
      <c r="F134" s="81"/>
      <c r="G134" s="81"/>
      <c r="H134" s="81"/>
      <c r="I134" s="81"/>
      <c r="J134" s="81"/>
      <c r="K134" s="88"/>
      <c r="L134" s="88"/>
      <c r="M134" s="88"/>
      <c r="N134" s="89"/>
      <c r="O134" s="88"/>
      <c r="P134" s="88"/>
      <c r="Q134" s="88"/>
      <c r="R134" s="88"/>
      <c r="S134" s="88"/>
      <c r="T134" s="69">
        <v>88200</v>
      </c>
      <c r="U134" s="70">
        <v>34645.68</v>
      </c>
      <c r="V134" s="72">
        <f t="shared" si="41"/>
        <v>122845.68</v>
      </c>
      <c r="W134" s="39">
        <v>8</v>
      </c>
      <c r="X134" s="66"/>
      <c r="Y134" s="67"/>
      <c r="Z134" s="66"/>
    </row>
    <row r="135" spans="1:26" ht="11.4" customHeight="1">
      <c r="A135" s="84"/>
      <c r="B135" s="81"/>
      <c r="C135" s="81"/>
      <c r="D135" s="81"/>
      <c r="E135" s="81"/>
      <c r="F135" s="81"/>
      <c r="G135" s="81"/>
      <c r="H135" s="81"/>
      <c r="I135" s="81"/>
      <c r="J135" s="81"/>
      <c r="K135" s="88"/>
      <c r="L135" s="88"/>
      <c r="M135" s="88"/>
      <c r="N135" s="89"/>
      <c r="O135" s="88"/>
      <c r="P135" s="88"/>
      <c r="Q135" s="88"/>
      <c r="R135" s="88"/>
      <c r="S135" s="88"/>
      <c r="T135" s="69">
        <v>88200</v>
      </c>
      <c r="U135" s="72">
        <v>33709.32</v>
      </c>
      <c r="V135" s="72">
        <f t="shared" si="41"/>
        <v>121909.32</v>
      </c>
      <c r="W135" s="39">
        <v>9</v>
      </c>
      <c r="X135" s="66"/>
      <c r="Y135" s="67"/>
      <c r="Z135" s="66"/>
    </row>
    <row r="136" spans="1:26" ht="11.4" customHeight="1">
      <c r="A136" s="84"/>
      <c r="B136" s="81"/>
      <c r="C136" s="81"/>
      <c r="D136" s="81"/>
      <c r="E136" s="81"/>
      <c r="F136" s="81"/>
      <c r="G136" s="81"/>
      <c r="H136" s="81"/>
      <c r="I136" s="81"/>
      <c r="J136" s="81"/>
      <c r="K136" s="275"/>
      <c r="L136" s="275"/>
      <c r="M136" s="275"/>
      <c r="N136" s="283"/>
      <c r="O136" s="275"/>
      <c r="P136" s="275"/>
      <c r="Q136" s="275"/>
      <c r="R136" s="275"/>
      <c r="S136" s="275"/>
      <c r="T136" s="275">
        <f>SUM(T133:T135)</f>
        <v>264600</v>
      </c>
      <c r="U136" s="286">
        <f t="shared" ref="U136" si="59">SUM(U133:U135)</f>
        <v>102789.25</v>
      </c>
      <c r="V136" s="76">
        <f t="shared" si="41"/>
        <v>367389.25</v>
      </c>
      <c r="W136" s="276"/>
      <c r="X136" s="66">
        <f t="shared" si="56"/>
        <v>264600</v>
      </c>
      <c r="Y136" s="67">
        <f t="shared" si="57"/>
        <v>102789.25</v>
      </c>
      <c r="Z136" s="66">
        <f t="shared" si="47"/>
        <v>367389.25</v>
      </c>
    </row>
    <row r="137" spans="1:26" ht="11.4" customHeight="1">
      <c r="A137" s="84"/>
      <c r="B137" s="81"/>
      <c r="C137" s="81"/>
      <c r="D137" s="81"/>
      <c r="E137" s="81"/>
      <c r="F137" s="81"/>
      <c r="G137" s="81"/>
      <c r="H137" s="81"/>
      <c r="I137" s="81"/>
      <c r="J137" s="81"/>
      <c r="K137" s="88"/>
      <c r="L137" s="88"/>
      <c r="M137" s="88"/>
      <c r="N137" s="89"/>
      <c r="O137" s="88"/>
      <c r="P137" s="88"/>
      <c r="Q137" s="88"/>
      <c r="R137" s="88"/>
      <c r="S137" s="88"/>
      <c r="T137" s="69">
        <v>88200</v>
      </c>
      <c r="U137" s="72">
        <v>31715.75</v>
      </c>
      <c r="V137" s="72">
        <f t="shared" si="41"/>
        <v>119915.75</v>
      </c>
      <c r="W137" s="39">
        <v>10</v>
      </c>
      <c r="X137" s="66"/>
      <c r="Y137" s="67"/>
      <c r="Z137" s="66"/>
    </row>
    <row r="138" spans="1:26" ht="11.4" customHeight="1">
      <c r="A138" s="84"/>
      <c r="B138" s="81"/>
      <c r="C138" s="81"/>
      <c r="D138" s="81"/>
      <c r="E138" s="81"/>
      <c r="F138" s="81"/>
      <c r="G138" s="81"/>
      <c r="H138" s="81"/>
      <c r="I138" s="81"/>
      <c r="J138" s="81"/>
      <c r="K138" s="88"/>
      <c r="L138" s="88"/>
      <c r="M138" s="88"/>
      <c r="N138" s="89"/>
      <c r="O138" s="88"/>
      <c r="P138" s="88"/>
      <c r="Q138" s="88"/>
      <c r="R138" s="88"/>
      <c r="S138" s="88"/>
      <c r="T138" s="69">
        <v>88200</v>
      </c>
      <c r="U138" s="72">
        <v>31836.58</v>
      </c>
      <c r="V138" s="72">
        <f t="shared" si="41"/>
        <v>120036.58</v>
      </c>
      <c r="W138" s="92">
        <v>11</v>
      </c>
      <c r="X138" s="66"/>
      <c r="Y138" s="67"/>
      <c r="Z138" s="66"/>
    </row>
    <row r="139" spans="1:26" ht="11.4" customHeight="1">
      <c r="A139" s="84"/>
      <c r="B139" s="81"/>
      <c r="C139" s="81"/>
      <c r="D139" s="81"/>
      <c r="E139" s="81"/>
      <c r="F139" s="81"/>
      <c r="G139" s="81"/>
      <c r="H139" s="81"/>
      <c r="I139" s="81"/>
      <c r="J139" s="81"/>
      <c r="K139" s="88"/>
      <c r="L139" s="88"/>
      <c r="M139" s="88"/>
      <c r="N139" s="89"/>
      <c r="O139" s="88"/>
      <c r="P139" s="88"/>
      <c r="Q139" s="88"/>
      <c r="R139" s="88"/>
      <c r="S139" s="88"/>
      <c r="T139" s="69">
        <v>88200</v>
      </c>
      <c r="U139" s="72">
        <v>29903.42</v>
      </c>
      <c r="V139" s="72">
        <f t="shared" si="41"/>
        <v>118103.42</v>
      </c>
      <c r="W139" s="92">
        <v>12</v>
      </c>
      <c r="X139" s="66"/>
      <c r="Y139" s="67"/>
      <c r="Z139" s="66"/>
    </row>
    <row r="140" spans="1:26" ht="11.4" customHeight="1">
      <c r="A140" s="84"/>
      <c r="B140" s="81"/>
      <c r="C140" s="81"/>
      <c r="D140" s="81"/>
      <c r="E140" s="81"/>
      <c r="F140" s="81"/>
      <c r="G140" s="81"/>
      <c r="H140" s="81"/>
      <c r="I140" s="81"/>
      <c r="J140" s="81"/>
      <c r="K140" s="275"/>
      <c r="L140" s="275"/>
      <c r="M140" s="275"/>
      <c r="N140" s="283"/>
      <c r="O140" s="275"/>
      <c r="P140" s="275"/>
      <c r="Q140" s="275"/>
      <c r="R140" s="275"/>
      <c r="S140" s="275"/>
      <c r="T140" s="275">
        <f>SUM(T137:T139)</f>
        <v>264600</v>
      </c>
      <c r="U140" s="286">
        <f t="shared" ref="U140" si="60">SUM(U137:U139)</f>
        <v>93455.75</v>
      </c>
      <c r="V140" s="72">
        <f t="shared" si="41"/>
        <v>358055.75</v>
      </c>
      <c r="W140" s="277"/>
      <c r="X140" s="66">
        <f t="shared" si="56"/>
        <v>264600</v>
      </c>
      <c r="Y140" s="67">
        <f t="shared" si="57"/>
        <v>93455.75</v>
      </c>
      <c r="Z140" s="66">
        <f t="shared" si="47"/>
        <v>358055.75</v>
      </c>
    </row>
    <row r="141" spans="1:26" ht="11.4" customHeight="1">
      <c r="A141" s="84"/>
      <c r="B141" s="81"/>
      <c r="C141" s="81"/>
      <c r="D141" s="81"/>
      <c r="E141" s="81"/>
      <c r="F141" s="81"/>
      <c r="G141" s="81"/>
      <c r="H141" s="81"/>
      <c r="I141" s="81"/>
      <c r="J141" s="81"/>
      <c r="K141" s="88"/>
      <c r="L141" s="88"/>
      <c r="M141" s="88"/>
      <c r="N141" s="89"/>
      <c r="O141" s="88"/>
      <c r="P141" s="88"/>
      <c r="Q141" s="88">
        <f>Q128+Q132+Q136+Q140</f>
        <v>114494.39</v>
      </c>
      <c r="R141" s="88">
        <f t="shared" ref="R141:S141" si="61">R128+R132+R136+R140</f>
        <v>112612.32</v>
      </c>
      <c r="S141" s="88">
        <f t="shared" si="61"/>
        <v>1882.07</v>
      </c>
      <c r="T141" s="88">
        <f>T128+T132+T136+T140</f>
        <v>1058400</v>
      </c>
      <c r="U141" s="91">
        <f t="shared" ref="U141" si="62">U128+U132+U136+U140</f>
        <v>424386.97</v>
      </c>
      <c r="V141" s="80">
        <f t="shared" si="41"/>
        <v>1482786.97</v>
      </c>
      <c r="W141" s="84" t="s">
        <v>564</v>
      </c>
      <c r="X141" s="66">
        <f t="shared" si="56"/>
        <v>1171012.32</v>
      </c>
      <c r="Y141" s="67">
        <f t="shared" si="57"/>
        <v>426269.04</v>
      </c>
      <c r="Z141" s="66">
        <f t="shared" si="47"/>
        <v>1597281.36</v>
      </c>
    </row>
    <row r="142" spans="1:26" ht="11.4" customHeight="1">
      <c r="A142" s="84"/>
      <c r="B142" s="81"/>
      <c r="C142" s="81"/>
      <c r="D142" s="81"/>
      <c r="E142" s="81"/>
      <c r="F142" s="81"/>
      <c r="G142" s="81"/>
      <c r="H142" s="81"/>
      <c r="I142" s="81"/>
      <c r="J142" s="81"/>
      <c r="K142" s="88"/>
      <c r="L142" s="88"/>
      <c r="M142" s="88"/>
      <c r="N142" s="89"/>
      <c r="O142" s="88"/>
      <c r="P142" s="88"/>
      <c r="Q142" s="88"/>
      <c r="R142" s="88"/>
      <c r="S142" s="88"/>
      <c r="T142" s="69">
        <v>88200</v>
      </c>
      <c r="U142" s="72">
        <v>29963.84</v>
      </c>
      <c r="V142" s="72">
        <f t="shared" si="41"/>
        <v>118163.84</v>
      </c>
      <c r="W142" s="39" t="s">
        <v>563</v>
      </c>
      <c r="X142" s="66">
        <f>X128+X132+X136+X140</f>
        <v>1171012.32</v>
      </c>
      <c r="Y142" s="67">
        <f>Y128+Y132+Y136+Y140</f>
        <v>426269.04</v>
      </c>
      <c r="Z142" s="66">
        <f>Z128+Z132+Z136+Z140</f>
        <v>1597281.36</v>
      </c>
    </row>
    <row r="143" spans="1:26" ht="11.4" customHeight="1">
      <c r="A143" s="84"/>
      <c r="B143" s="81"/>
      <c r="C143" s="81"/>
      <c r="D143" s="81"/>
      <c r="E143" s="81"/>
      <c r="F143" s="81"/>
      <c r="G143" s="81"/>
      <c r="H143" s="81"/>
      <c r="I143" s="81"/>
      <c r="J143" s="81"/>
      <c r="K143" s="88"/>
      <c r="L143" s="88"/>
      <c r="M143" s="88"/>
      <c r="N143" s="89"/>
      <c r="O143" s="88"/>
      <c r="P143" s="88"/>
      <c r="Q143" s="88"/>
      <c r="R143" s="88"/>
      <c r="S143" s="88"/>
      <c r="T143" s="69">
        <v>88200</v>
      </c>
      <c r="U143" s="72">
        <v>29027.47</v>
      </c>
      <c r="V143" s="72">
        <f t="shared" si="41"/>
        <v>117227.47</v>
      </c>
      <c r="W143" s="39">
        <v>2</v>
      </c>
      <c r="X143" s="66"/>
      <c r="Y143" s="67"/>
      <c r="Z143" s="66"/>
    </row>
    <row r="144" spans="1:26" ht="11.4" customHeight="1">
      <c r="A144" s="84"/>
      <c r="B144" s="81"/>
      <c r="C144" s="81"/>
      <c r="D144" s="81"/>
      <c r="E144" s="81"/>
      <c r="F144" s="81"/>
      <c r="G144" s="81"/>
      <c r="H144" s="81"/>
      <c r="I144" s="81"/>
      <c r="J144" s="81"/>
      <c r="K144" s="88"/>
      <c r="L144" s="88"/>
      <c r="M144" s="88"/>
      <c r="N144" s="89"/>
      <c r="O144" s="88"/>
      <c r="P144" s="88"/>
      <c r="Q144" s="88"/>
      <c r="R144" s="88"/>
      <c r="S144" s="88"/>
      <c r="T144" s="69">
        <v>88200</v>
      </c>
      <c r="U144" s="72">
        <v>25372.6</v>
      </c>
      <c r="V144" s="72">
        <f t="shared" si="41"/>
        <v>113572.6</v>
      </c>
      <c r="W144" s="39">
        <v>3</v>
      </c>
      <c r="X144" s="66"/>
      <c r="Y144" s="67"/>
      <c r="Z144" s="66"/>
    </row>
    <row r="145" spans="1:26" ht="11.4" customHeight="1">
      <c r="A145" s="84"/>
      <c r="B145" s="81"/>
      <c r="C145" s="81"/>
      <c r="D145" s="81"/>
      <c r="E145" s="81"/>
      <c r="F145" s="81"/>
      <c r="G145" s="81"/>
      <c r="H145" s="81"/>
      <c r="I145" s="81"/>
      <c r="J145" s="81"/>
      <c r="K145" s="272"/>
      <c r="L145" s="272"/>
      <c r="M145" s="272"/>
      <c r="N145" s="284"/>
      <c r="O145" s="272"/>
      <c r="P145" s="272"/>
      <c r="Q145" s="272"/>
      <c r="R145" s="272"/>
      <c r="S145" s="272"/>
      <c r="T145" s="275">
        <f>SUM(T142:T144)</f>
        <v>264600</v>
      </c>
      <c r="U145" s="286">
        <f t="shared" ref="U145" si="63">SUM(U142:U144)</f>
        <v>84363.91</v>
      </c>
      <c r="V145" s="76">
        <f t="shared" si="41"/>
        <v>348963.91</v>
      </c>
      <c r="W145" s="61"/>
      <c r="X145" s="66">
        <f t="shared" si="56"/>
        <v>264600</v>
      </c>
      <c r="Y145" s="67">
        <f t="shared" si="57"/>
        <v>84363.91</v>
      </c>
      <c r="Z145" s="66">
        <f t="shared" si="47"/>
        <v>348963.91</v>
      </c>
    </row>
    <row r="146" spans="1:26" ht="11.4" customHeight="1">
      <c r="A146" s="84"/>
      <c r="B146" s="81"/>
      <c r="C146" s="81"/>
      <c r="D146" s="81"/>
      <c r="E146" s="81"/>
      <c r="F146" s="81"/>
      <c r="G146" s="81"/>
      <c r="H146" s="81"/>
      <c r="I146" s="81"/>
      <c r="J146" s="81"/>
      <c r="K146" s="88"/>
      <c r="L146" s="88"/>
      <c r="M146" s="88"/>
      <c r="N146" s="89"/>
      <c r="O146" s="88"/>
      <c r="P146" s="88"/>
      <c r="Q146" s="88">
        <f>Q124+Q141</f>
        <v>572472.94999999995</v>
      </c>
      <c r="R146" s="88"/>
      <c r="S146" s="88"/>
      <c r="T146" s="69">
        <v>88200</v>
      </c>
      <c r="U146" s="72">
        <v>27154.73</v>
      </c>
      <c r="V146" s="72">
        <f t="shared" si="41"/>
        <v>115354.73</v>
      </c>
      <c r="W146" s="39">
        <v>4</v>
      </c>
      <c r="X146" s="66"/>
      <c r="Y146" s="67"/>
      <c r="Z146" s="66"/>
    </row>
    <row r="147" spans="1:26" ht="11.4" customHeight="1">
      <c r="A147" s="84"/>
      <c r="B147" s="81"/>
      <c r="C147" s="81"/>
      <c r="D147" s="81"/>
      <c r="E147" s="81"/>
      <c r="F147" s="81"/>
      <c r="G147" s="81"/>
      <c r="H147" s="81"/>
      <c r="I147" s="81"/>
      <c r="J147" s="81"/>
      <c r="K147" s="88"/>
      <c r="L147" s="88"/>
      <c r="M147" s="88"/>
      <c r="N147" s="89"/>
      <c r="O147" s="88"/>
      <c r="P147" s="88"/>
      <c r="Q147" s="88"/>
      <c r="R147" s="88"/>
      <c r="S147" s="88"/>
      <c r="T147" s="69">
        <v>88200</v>
      </c>
      <c r="U147" s="72">
        <v>25372.6</v>
      </c>
      <c r="V147" s="72">
        <f t="shared" si="41"/>
        <v>113572.6</v>
      </c>
      <c r="W147" s="39">
        <v>5</v>
      </c>
      <c r="X147" s="66"/>
      <c r="Y147" s="67"/>
      <c r="Z147" s="66"/>
    </row>
    <row r="148" spans="1:26" ht="11.4" customHeight="1">
      <c r="A148" s="84"/>
      <c r="B148" s="81"/>
      <c r="C148" s="81"/>
      <c r="D148" s="81"/>
      <c r="E148" s="81"/>
      <c r="F148" s="81"/>
      <c r="G148" s="81"/>
      <c r="H148" s="81"/>
      <c r="I148" s="81"/>
      <c r="J148" s="81"/>
      <c r="K148" s="88"/>
      <c r="L148" s="88"/>
      <c r="M148" s="88"/>
      <c r="N148" s="89"/>
      <c r="O148" s="88"/>
      <c r="P148" s="88"/>
      <c r="Q148" s="88"/>
      <c r="R148" s="88"/>
      <c r="S148" s="88"/>
      <c r="T148" s="69">
        <v>88200</v>
      </c>
      <c r="U148" s="72">
        <v>25281.99</v>
      </c>
      <c r="V148" s="72">
        <f t="shared" si="41"/>
        <v>113481.99</v>
      </c>
      <c r="W148" s="39">
        <v>6</v>
      </c>
      <c r="X148" s="66"/>
      <c r="Y148" s="67"/>
      <c r="Z148" s="66"/>
    </row>
    <row r="149" spans="1:26" ht="11.4" customHeight="1">
      <c r="A149" s="84"/>
      <c r="B149" s="81"/>
      <c r="C149" s="81"/>
      <c r="D149" s="81"/>
      <c r="E149" s="81"/>
      <c r="F149" s="81"/>
      <c r="G149" s="81"/>
      <c r="H149" s="81"/>
      <c r="I149" s="81"/>
      <c r="J149" s="81"/>
      <c r="K149" s="272"/>
      <c r="L149" s="272"/>
      <c r="M149" s="272"/>
      <c r="N149" s="284"/>
      <c r="O149" s="272"/>
      <c r="P149" s="272"/>
      <c r="Q149" s="272"/>
      <c r="R149" s="272"/>
      <c r="S149" s="272"/>
      <c r="T149" s="275">
        <f>SUM(T146:T148)</f>
        <v>264600</v>
      </c>
      <c r="U149" s="286">
        <f t="shared" ref="U149" si="64">SUM(U146:U148)</f>
        <v>77809.320000000007</v>
      </c>
      <c r="V149" s="76">
        <f t="shared" si="41"/>
        <v>342409.32</v>
      </c>
      <c r="W149" s="61"/>
      <c r="X149" s="66">
        <f t="shared" si="56"/>
        <v>264600</v>
      </c>
      <c r="Y149" s="67">
        <f t="shared" si="57"/>
        <v>77809.320000000007</v>
      </c>
      <c r="Z149" s="66">
        <f t="shared" si="47"/>
        <v>342409.32</v>
      </c>
    </row>
    <row r="150" spans="1:26" ht="11.4" customHeight="1">
      <c r="A150" s="84"/>
      <c r="B150" s="81"/>
      <c r="C150" s="81"/>
      <c r="D150" s="81"/>
      <c r="E150" s="81"/>
      <c r="F150" s="81"/>
      <c r="G150" s="81"/>
      <c r="H150" s="81"/>
      <c r="I150" s="81"/>
      <c r="J150" s="81"/>
      <c r="K150" s="88"/>
      <c r="L150" s="88"/>
      <c r="M150" s="88"/>
      <c r="N150" s="89"/>
      <c r="O150" s="88"/>
      <c r="P150" s="88"/>
      <c r="Q150" s="88"/>
      <c r="R150" s="88"/>
      <c r="S150" s="88"/>
      <c r="T150" s="69">
        <v>88200</v>
      </c>
      <c r="U150" s="72">
        <v>23560.27</v>
      </c>
      <c r="V150" s="72">
        <f t="shared" si="41"/>
        <v>111760.27</v>
      </c>
      <c r="W150" s="39">
        <v>7</v>
      </c>
      <c r="X150" s="66"/>
      <c r="Y150" s="67"/>
      <c r="Z150" s="66"/>
    </row>
    <row r="151" spans="1:26" ht="11.4" customHeight="1">
      <c r="A151" s="84"/>
      <c r="B151" s="81"/>
      <c r="C151" s="81"/>
      <c r="D151" s="81"/>
      <c r="E151" s="81"/>
      <c r="F151" s="81"/>
      <c r="G151" s="81"/>
      <c r="H151" s="81"/>
      <c r="I151" s="81"/>
      <c r="J151" s="81"/>
      <c r="K151" s="88"/>
      <c r="L151" s="88"/>
      <c r="M151" s="88"/>
      <c r="N151" s="89"/>
      <c r="O151" s="88"/>
      <c r="P151" s="88"/>
      <c r="Q151" s="88"/>
      <c r="R151" s="88"/>
      <c r="S151" s="88"/>
      <c r="T151" s="69">
        <v>88200</v>
      </c>
      <c r="U151" s="72">
        <v>23409.25</v>
      </c>
      <c r="V151" s="72">
        <f t="shared" si="41"/>
        <v>111609.25</v>
      </c>
      <c r="W151" s="39">
        <v>8</v>
      </c>
      <c r="X151" s="66"/>
      <c r="Y151" s="67"/>
      <c r="Z151" s="66"/>
    </row>
    <row r="152" spans="1:26" ht="11.4" customHeight="1">
      <c r="A152" s="84"/>
      <c r="B152" s="81"/>
      <c r="C152" s="81"/>
      <c r="D152" s="81"/>
      <c r="E152" s="81"/>
      <c r="F152" s="81"/>
      <c r="G152" s="81"/>
      <c r="H152" s="81"/>
      <c r="I152" s="81"/>
      <c r="J152" s="81"/>
      <c r="K152" s="88"/>
      <c r="L152" s="88"/>
      <c r="M152" s="88"/>
      <c r="N152" s="89"/>
      <c r="O152" s="88"/>
      <c r="P152" s="88"/>
      <c r="Q152" s="88"/>
      <c r="R152" s="88"/>
      <c r="S152" s="88"/>
      <c r="T152" s="69">
        <v>88200</v>
      </c>
      <c r="U152" s="72">
        <v>22472.880000000001</v>
      </c>
      <c r="V152" s="72">
        <f t="shared" si="41"/>
        <v>110672.88</v>
      </c>
      <c r="W152" s="39">
        <v>9</v>
      </c>
      <c r="X152" s="66"/>
      <c r="Y152" s="67"/>
      <c r="Z152" s="66"/>
    </row>
    <row r="153" spans="1:26" ht="11.4" customHeight="1">
      <c r="A153" s="84"/>
      <c r="B153" s="81"/>
      <c r="C153" s="81"/>
      <c r="D153" s="81"/>
      <c r="E153" s="81"/>
      <c r="F153" s="81"/>
      <c r="G153" s="81"/>
      <c r="H153" s="81"/>
      <c r="I153" s="81"/>
      <c r="J153" s="81"/>
      <c r="K153" s="272"/>
      <c r="L153" s="272"/>
      <c r="M153" s="272"/>
      <c r="N153" s="284"/>
      <c r="O153" s="272"/>
      <c r="P153" s="272"/>
      <c r="Q153" s="272"/>
      <c r="R153" s="272"/>
      <c r="S153" s="272"/>
      <c r="T153" s="275">
        <f>SUM(T150:T152)</f>
        <v>264600</v>
      </c>
      <c r="U153" s="286">
        <f t="shared" ref="U153" si="65">SUM(U150:U152)</f>
        <v>69442.399999999994</v>
      </c>
      <c r="V153" s="76">
        <f t="shared" si="41"/>
        <v>334042.40000000002</v>
      </c>
      <c r="W153" s="61"/>
      <c r="X153" s="66">
        <f t="shared" si="56"/>
        <v>264600</v>
      </c>
      <c r="Y153" s="67">
        <f t="shared" si="57"/>
        <v>69442.399999999994</v>
      </c>
      <c r="Z153" s="66">
        <f t="shared" si="47"/>
        <v>334042.40000000002</v>
      </c>
    </row>
    <row r="154" spans="1:26" ht="11.4" customHeight="1">
      <c r="A154" s="84"/>
      <c r="B154" s="81"/>
      <c r="C154" s="81"/>
      <c r="D154" s="81"/>
      <c r="E154" s="81"/>
      <c r="F154" s="81"/>
      <c r="G154" s="81"/>
      <c r="H154" s="81"/>
      <c r="I154" s="81"/>
      <c r="J154" s="81"/>
      <c r="K154" s="88"/>
      <c r="L154" s="88"/>
      <c r="M154" s="88"/>
      <c r="N154" s="89"/>
      <c r="O154" s="88"/>
      <c r="P154" s="88"/>
      <c r="Q154" s="88"/>
      <c r="R154" s="88"/>
      <c r="S154" s="88"/>
      <c r="T154" s="69">
        <v>88200</v>
      </c>
      <c r="U154" s="70">
        <v>20841.78</v>
      </c>
      <c r="V154" s="72">
        <f t="shared" si="41"/>
        <v>109041.78</v>
      </c>
      <c r="W154" s="39">
        <v>10</v>
      </c>
      <c r="X154" s="66"/>
      <c r="Y154" s="67"/>
      <c r="Z154" s="66"/>
    </row>
    <row r="155" spans="1:26" ht="11.4" customHeight="1">
      <c r="A155" s="84"/>
      <c r="B155" s="81"/>
      <c r="C155" s="81"/>
      <c r="D155" s="81"/>
      <c r="E155" s="81"/>
      <c r="F155" s="81"/>
      <c r="G155" s="81"/>
      <c r="H155" s="81"/>
      <c r="I155" s="81"/>
      <c r="J155" s="81"/>
      <c r="K155" s="88"/>
      <c r="L155" s="88"/>
      <c r="M155" s="88"/>
      <c r="N155" s="89"/>
      <c r="O155" s="88"/>
      <c r="P155" s="88"/>
      <c r="Q155" s="88"/>
      <c r="R155" s="88"/>
      <c r="S155" s="88"/>
      <c r="T155" s="69">
        <v>88200</v>
      </c>
      <c r="U155" s="70">
        <v>20600.14</v>
      </c>
      <c r="V155" s="72">
        <f t="shared" si="41"/>
        <v>108800.14</v>
      </c>
      <c r="W155" s="92">
        <v>11</v>
      </c>
      <c r="X155" s="66"/>
      <c r="Y155" s="67"/>
      <c r="Z155" s="66"/>
    </row>
    <row r="156" spans="1:26" ht="11.4" customHeight="1">
      <c r="A156" s="84"/>
      <c r="B156" s="81"/>
      <c r="C156" s="81"/>
      <c r="D156" s="81"/>
      <c r="E156" s="81"/>
      <c r="F156" s="81"/>
      <c r="G156" s="81"/>
      <c r="H156" s="81"/>
      <c r="I156" s="81"/>
      <c r="J156" s="81"/>
      <c r="K156" s="88"/>
      <c r="L156" s="88"/>
      <c r="M156" s="88"/>
      <c r="N156" s="89"/>
      <c r="O156" s="88"/>
      <c r="P156" s="88"/>
      <c r="Q156" s="88"/>
      <c r="R156" s="88"/>
      <c r="S156" s="88"/>
      <c r="T156" s="69">
        <v>88200</v>
      </c>
      <c r="U156" s="70">
        <v>19029.45</v>
      </c>
      <c r="V156" s="72">
        <f t="shared" si="41"/>
        <v>107229.45</v>
      </c>
      <c r="W156" s="92">
        <v>12</v>
      </c>
      <c r="X156" s="66"/>
      <c r="Y156" s="67"/>
      <c r="Z156" s="66"/>
    </row>
    <row r="157" spans="1:26" ht="11.4" customHeight="1">
      <c r="A157" s="84"/>
      <c r="B157" s="81"/>
      <c r="C157" s="81"/>
      <c r="D157" s="81"/>
      <c r="E157" s="81"/>
      <c r="F157" s="81"/>
      <c r="G157" s="81"/>
      <c r="H157" s="81"/>
      <c r="I157" s="81"/>
      <c r="J157" s="81"/>
      <c r="K157" s="272"/>
      <c r="L157" s="272"/>
      <c r="M157" s="272"/>
      <c r="N157" s="284"/>
      <c r="O157" s="272"/>
      <c r="P157" s="272"/>
      <c r="Q157" s="272"/>
      <c r="R157" s="272"/>
      <c r="S157" s="272"/>
      <c r="T157" s="275">
        <f>SUM(T154:T156)</f>
        <v>264600</v>
      </c>
      <c r="U157" s="286">
        <f t="shared" ref="U157" si="66">SUM(U154:U156)</f>
        <v>60471.37</v>
      </c>
      <c r="V157" s="72">
        <f t="shared" si="41"/>
        <v>325071.37</v>
      </c>
      <c r="W157" s="278"/>
      <c r="X157" s="66">
        <f t="shared" si="56"/>
        <v>264600</v>
      </c>
      <c r="Y157" s="67">
        <f t="shared" si="57"/>
        <v>60471.37</v>
      </c>
      <c r="Z157" s="66">
        <f t="shared" si="47"/>
        <v>325071.37</v>
      </c>
    </row>
    <row r="158" spans="1:26" ht="11.4" customHeight="1">
      <c r="A158" s="84"/>
      <c r="B158" s="81"/>
      <c r="C158" s="81"/>
      <c r="D158" s="81"/>
      <c r="E158" s="81"/>
      <c r="F158" s="81"/>
      <c r="G158" s="81"/>
      <c r="H158" s="81"/>
      <c r="I158" s="81"/>
      <c r="J158" s="81"/>
      <c r="K158" s="88"/>
      <c r="L158" s="88"/>
      <c r="M158" s="88"/>
      <c r="N158" s="89"/>
      <c r="O158" s="88"/>
      <c r="P158" s="88"/>
      <c r="Q158" s="88"/>
      <c r="R158" s="88"/>
      <c r="S158" s="88"/>
      <c r="T158" s="88">
        <f>T145+T149+T153+T157</f>
        <v>1058400</v>
      </c>
      <c r="U158" s="91">
        <f t="shared" ref="U158" si="67">U145+U149+U153+U157</f>
        <v>292087</v>
      </c>
      <c r="V158" s="80">
        <f t="shared" si="41"/>
        <v>1350487</v>
      </c>
      <c r="W158" s="84" t="s">
        <v>565</v>
      </c>
      <c r="X158" s="66">
        <f t="shared" si="56"/>
        <v>1058400</v>
      </c>
      <c r="Y158" s="67">
        <f t="shared" si="57"/>
        <v>292087</v>
      </c>
      <c r="Z158" s="66">
        <f t="shared" si="47"/>
        <v>1350487</v>
      </c>
    </row>
    <row r="159" spans="1:26" ht="11.4" customHeight="1">
      <c r="A159" s="84"/>
      <c r="B159" s="81"/>
      <c r="C159" s="81"/>
      <c r="D159" s="81"/>
      <c r="E159" s="81"/>
      <c r="F159" s="81"/>
      <c r="G159" s="81"/>
      <c r="H159" s="81"/>
      <c r="I159" s="81"/>
      <c r="J159" s="81"/>
      <c r="K159" s="88"/>
      <c r="L159" s="88"/>
      <c r="M159" s="88"/>
      <c r="N159" s="89"/>
      <c r="O159" s="88"/>
      <c r="P159" s="88"/>
      <c r="Q159" s="88"/>
      <c r="R159" s="88"/>
      <c r="S159" s="88"/>
      <c r="T159" s="69">
        <v>88200</v>
      </c>
      <c r="U159" s="70">
        <v>18727.400000000001</v>
      </c>
      <c r="V159" s="72">
        <f t="shared" si="41"/>
        <v>106927.4</v>
      </c>
      <c r="W159" s="39" t="s">
        <v>566</v>
      </c>
      <c r="X159" s="66">
        <f>X145+X149+X153+X157</f>
        <v>1058400</v>
      </c>
      <c r="Y159" s="67">
        <f>Y145+Y149+Y153+Y157</f>
        <v>292087</v>
      </c>
      <c r="Z159" s="66">
        <f>Z145+Z149+Z153+Z157</f>
        <v>1350487</v>
      </c>
    </row>
    <row r="160" spans="1:26" ht="11.4" customHeight="1">
      <c r="A160" s="84"/>
      <c r="B160" s="81"/>
      <c r="C160" s="81"/>
      <c r="D160" s="81"/>
      <c r="E160" s="81"/>
      <c r="F160" s="81"/>
      <c r="G160" s="81"/>
      <c r="H160" s="81"/>
      <c r="I160" s="81"/>
      <c r="J160" s="81"/>
      <c r="K160" s="88"/>
      <c r="L160" s="88"/>
      <c r="M160" s="88"/>
      <c r="N160" s="89"/>
      <c r="O160" s="88"/>
      <c r="P160" s="88"/>
      <c r="Q160" s="88"/>
      <c r="R160" s="88"/>
      <c r="S160" s="88"/>
      <c r="T160" s="69">
        <v>88200</v>
      </c>
      <c r="U160" s="72">
        <v>17791.03</v>
      </c>
      <c r="V160" s="72">
        <f t="shared" si="41"/>
        <v>105991.03</v>
      </c>
      <c r="W160" s="39">
        <v>2</v>
      </c>
      <c r="X160" s="66"/>
      <c r="Y160" s="67"/>
      <c r="Z160" s="66"/>
    </row>
    <row r="161" spans="1:26" ht="11.4" customHeight="1">
      <c r="A161" s="84"/>
      <c r="B161" s="81"/>
      <c r="C161" s="81"/>
      <c r="D161" s="81"/>
      <c r="E161" s="81"/>
      <c r="F161" s="81"/>
      <c r="G161" s="81"/>
      <c r="H161" s="81"/>
      <c r="I161" s="81"/>
      <c r="J161" s="81"/>
      <c r="K161" s="88"/>
      <c r="L161" s="88"/>
      <c r="M161" s="88"/>
      <c r="N161" s="89"/>
      <c r="O161" s="88"/>
      <c r="P161" s="88"/>
      <c r="Q161" s="88"/>
      <c r="R161" s="88"/>
      <c r="S161" s="88"/>
      <c r="T161" s="69">
        <v>88200</v>
      </c>
      <c r="U161" s="72">
        <v>15223.56</v>
      </c>
      <c r="V161" s="72">
        <f t="shared" si="41"/>
        <v>103423.56</v>
      </c>
      <c r="W161" s="39">
        <v>3</v>
      </c>
      <c r="X161" s="66"/>
      <c r="Y161" s="67"/>
      <c r="Z161" s="66"/>
    </row>
    <row r="162" spans="1:26" ht="11.4" customHeight="1">
      <c r="A162" s="84"/>
      <c r="B162" s="81"/>
      <c r="C162" s="81"/>
      <c r="D162" s="81"/>
      <c r="E162" s="81"/>
      <c r="F162" s="81"/>
      <c r="G162" s="81"/>
      <c r="H162" s="81"/>
      <c r="I162" s="81"/>
      <c r="J162" s="81"/>
      <c r="K162" s="272"/>
      <c r="L162" s="272"/>
      <c r="M162" s="272"/>
      <c r="N162" s="284"/>
      <c r="O162" s="272"/>
      <c r="P162" s="272"/>
      <c r="Q162" s="272"/>
      <c r="R162" s="272"/>
      <c r="S162" s="272"/>
      <c r="T162" s="275">
        <f>SUM(T159:T161)</f>
        <v>264600</v>
      </c>
      <c r="U162" s="286">
        <f t="shared" ref="U162" si="68">SUM(U159:U161)</f>
        <v>51741.99</v>
      </c>
      <c r="V162" s="76">
        <f t="shared" si="41"/>
        <v>316341.99</v>
      </c>
      <c r="W162" s="61"/>
      <c r="X162" s="66">
        <f t="shared" si="56"/>
        <v>264600</v>
      </c>
      <c r="Y162" s="67">
        <f t="shared" si="57"/>
        <v>51741.99</v>
      </c>
      <c r="Z162" s="66">
        <f t="shared" si="47"/>
        <v>316341.99</v>
      </c>
    </row>
    <row r="163" spans="1:26" ht="11.4" customHeight="1">
      <c r="A163" s="84"/>
      <c r="B163" s="81"/>
      <c r="C163" s="81"/>
      <c r="D163" s="81"/>
      <c r="E163" s="81"/>
      <c r="F163" s="81"/>
      <c r="G163" s="81"/>
      <c r="H163" s="81"/>
      <c r="I163" s="81"/>
      <c r="J163" s="81"/>
      <c r="K163" s="88"/>
      <c r="L163" s="88"/>
      <c r="M163" s="88"/>
      <c r="N163" s="89"/>
      <c r="O163" s="88"/>
      <c r="P163" s="88"/>
      <c r="Q163" s="88"/>
      <c r="R163" s="88"/>
      <c r="S163" s="88"/>
      <c r="T163" s="69">
        <v>88200</v>
      </c>
      <c r="U163" s="72">
        <v>15918.29</v>
      </c>
      <c r="V163" s="72">
        <f t="shared" si="41"/>
        <v>104118.29</v>
      </c>
      <c r="W163" s="39">
        <v>4</v>
      </c>
      <c r="X163" s="66"/>
      <c r="Y163" s="67"/>
      <c r="Z163" s="66"/>
    </row>
    <row r="164" spans="1:26" ht="11.4" customHeight="1">
      <c r="A164" s="84"/>
      <c r="B164" s="81"/>
      <c r="C164" s="81"/>
      <c r="D164" s="81"/>
      <c r="E164" s="81"/>
      <c r="F164" s="81"/>
      <c r="G164" s="81"/>
      <c r="H164" s="81"/>
      <c r="I164" s="81"/>
      <c r="J164" s="81"/>
      <c r="K164" s="88"/>
      <c r="L164" s="88"/>
      <c r="M164" s="88"/>
      <c r="N164" s="89"/>
      <c r="O164" s="88"/>
      <c r="P164" s="88"/>
      <c r="Q164" s="88"/>
      <c r="R164" s="88"/>
      <c r="S164" s="88"/>
      <c r="T164" s="69">
        <v>88200</v>
      </c>
      <c r="U164" s="72">
        <v>14498.63</v>
      </c>
      <c r="V164" s="72">
        <f t="shared" si="41"/>
        <v>102698.63</v>
      </c>
      <c r="W164" s="39">
        <v>5</v>
      </c>
      <c r="X164" s="66"/>
      <c r="Y164" s="67"/>
      <c r="Z164" s="66"/>
    </row>
    <row r="165" spans="1:26" ht="11.4" customHeight="1">
      <c r="A165" s="84"/>
      <c r="B165" s="81"/>
      <c r="C165" s="81"/>
      <c r="D165" s="81"/>
      <c r="E165" s="81"/>
      <c r="F165" s="81"/>
      <c r="G165" s="81"/>
      <c r="H165" s="81"/>
      <c r="I165" s="81"/>
      <c r="J165" s="81"/>
      <c r="K165" s="88"/>
      <c r="L165" s="88"/>
      <c r="M165" s="88"/>
      <c r="N165" s="89"/>
      <c r="O165" s="88"/>
      <c r="P165" s="88"/>
      <c r="Q165" s="88"/>
      <c r="R165" s="88"/>
      <c r="S165" s="88"/>
      <c r="T165" s="69">
        <v>88200</v>
      </c>
      <c r="U165" s="72">
        <v>14045.55</v>
      </c>
      <c r="V165" s="72">
        <f t="shared" si="41"/>
        <v>102245.55</v>
      </c>
      <c r="W165" s="39">
        <v>6</v>
      </c>
      <c r="X165" s="66"/>
      <c r="Y165" s="67"/>
      <c r="Z165" s="66"/>
    </row>
    <row r="166" spans="1:26" ht="11.4" customHeight="1">
      <c r="A166" s="84"/>
      <c r="B166" s="81"/>
      <c r="C166" s="81"/>
      <c r="D166" s="81"/>
      <c r="E166" s="81"/>
      <c r="F166" s="81"/>
      <c r="G166" s="81"/>
      <c r="H166" s="81"/>
      <c r="I166" s="81"/>
      <c r="J166" s="81"/>
      <c r="K166" s="275"/>
      <c r="L166" s="275"/>
      <c r="M166" s="275"/>
      <c r="N166" s="283"/>
      <c r="O166" s="275"/>
      <c r="P166" s="275"/>
      <c r="Q166" s="275"/>
      <c r="R166" s="275"/>
      <c r="S166" s="275"/>
      <c r="T166" s="275">
        <f>SUM(T163:T165)</f>
        <v>264600</v>
      </c>
      <c r="U166" s="286">
        <f t="shared" ref="U166" si="69">SUM(U163:U165)</f>
        <v>44462.47</v>
      </c>
      <c r="V166" s="76">
        <f t="shared" ref="V166:V187" si="70">T166+U166</f>
        <v>309062.46999999997</v>
      </c>
      <c r="W166" s="276"/>
      <c r="X166" s="66">
        <f t="shared" si="56"/>
        <v>264600</v>
      </c>
      <c r="Y166" s="67">
        <f t="shared" si="57"/>
        <v>44462.47</v>
      </c>
      <c r="Z166" s="66">
        <f t="shared" si="47"/>
        <v>309062.46999999997</v>
      </c>
    </row>
    <row r="167" spans="1:26" ht="11.4" customHeight="1">
      <c r="A167" s="84"/>
      <c r="B167" s="81"/>
      <c r="C167" s="81"/>
      <c r="D167" s="81"/>
      <c r="E167" s="81"/>
      <c r="F167" s="81"/>
      <c r="G167" s="81"/>
      <c r="H167" s="81"/>
      <c r="I167" s="81"/>
      <c r="J167" s="81"/>
      <c r="K167" s="88"/>
      <c r="L167" s="88"/>
      <c r="M167" s="88"/>
      <c r="N167" s="89"/>
      <c r="O167" s="88"/>
      <c r="P167" s="88"/>
      <c r="Q167" s="88"/>
      <c r="R167" s="88"/>
      <c r="S167" s="88"/>
      <c r="T167" s="69">
        <v>88200</v>
      </c>
      <c r="U167" s="72">
        <v>12686.3</v>
      </c>
      <c r="V167" s="72">
        <f t="shared" si="70"/>
        <v>100886.3</v>
      </c>
      <c r="W167" s="39">
        <v>7</v>
      </c>
      <c r="X167" s="66"/>
      <c r="Y167" s="67"/>
      <c r="Z167" s="66"/>
    </row>
    <row r="168" spans="1:26" ht="11.4" customHeight="1">
      <c r="A168" s="84"/>
      <c r="B168" s="81"/>
      <c r="C168" s="81"/>
      <c r="D168" s="81"/>
      <c r="E168" s="81"/>
      <c r="F168" s="81"/>
      <c r="G168" s="81"/>
      <c r="H168" s="81"/>
      <c r="I168" s="81"/>
      <c r="J168" s="81"/>
      <c r="K168" s="88"/>
      <c r="L168" s="88"/>
      <c r="M168" s="88"/>
      <c r="N168" s="89"/>
      <c r="O168" s="88"/>
      <c r="P168" s="88"/>
      <c r="Q168" s="88"/>
      <c r="R168" s="88"/>
      <c r="S168" s="88"/>
      <c r="T168" s="69">
        <v>88200</v>
      </c>
      <c r="U168" s="72">
        <v>12172.81</v>
      </c>
      <c r="V168" s="72">
        <f t="shared" si="70"/>
        <v>100372.81</v>
      </c>
      <c r="W168" s="39">
        <v>8</v>
      </c>
      <c r="X168" s="66"/>
      <c r="Y168" s="67"/>
      <c r="Z168" s="66"/>
    </row>
    <row r="169" spans="1:26" ht="11.4" customHeight="1">
      <c r="A169" s="84"/>
      <c r="B169" s="81"/>
      <c r="C169" s="81"/>
      <c r="D169" s="81"/>
      <c r="E169" s="81"/>
      <c r="F169" s="81"/>
      <c r="G169" s="81"/>
      <c r="H169" s="81"/>
      <c r="I169" s="81"/>
      <c r="J169" s="81"/>
      <c r="K169" s="88"/>
      <c r="L169" s="88"/>
      <c r="M169" s="88"/>
      <c r="N169" s="89"/>
      <c r="O169" s="88"/>
      <c r="P169" s="88"/>
      <c r="Q169" s="88"/>
      <c r="R169" s="88"/>
      <c r="S169" s="88"/>
      <c r="T169" s="69">
        <v>88200</v>
      </c>
      <c r="U169" s="72">
        <v>11236.44</v>
      </c>
      <c r="V169" s="72">
        <f t="shared" si="70"/>
        <v>99436.44</v>
      </c>
      <c r="W169" s="39">
        <v>9</v>
      </c>
      <c r="X169" s="66"/>
      <c r="Y169" s="67"/>
      <c r="Z169" s="66"/>
    </row>
    <row r="170" spans="1:26" ht="11.4" customHeight="1">
      <c r="A170" s="84"/>
      <c r="B170" s="81"/>
      <c r="C170" s="81"/>
      <c r="D170" s="81"/>
      <c r="E170" s="81"/>
      <c r="F170" s="81"/>
      <c r="G170" s="81"/>
      <c r="H170" s="81"/>
      <c r="I170" s="81"/>
      <c r="J170" s="81"/>
      <c r="K170" s="272"/>
      <c r="L170" s="272"/>
      <c r="M170" s="272"/>
      <c r="N170" s="284"/>
      <c r="O170" s="272"/>
      <c r="P170" s="272"/>
      <c r="Q170" s="272"/>
      <c r="R170" s="272"/>
      <c r="S170" s="272"/>
      <c r="T170" s="275">
        <f>SUM(T167:T169)</f>
        <v>264600</v>
      </c>
      <c r="U170" s="286">
        <f t="shared" ref="U170" si="71">SUM(U167:U169)</f>
        <v>36095.550000000003</v>
      </c>
      <c r="V170" s="76">
        <f t="shared" si="70"/>
        <v>300695.55</v>
      </c>
      <c r="W170" s="61"/>
      <c r="X170" s="66">
        <f t="shared" si="56"/>
        <v>264600</v>
      </c>
      <c r="Y170" s="67">
        <f t="shared" si="57"/>
        <v>36095.550000000003</v>
      </c>
      <c r="Z170" s="66">
        <f t="shared" si="47"/>
        <v>300695.55</v>
      </c>
    </row>
    <row r="171" spans="1:26" ht="11.4" customHeight="1">
      <c r="A171" s="84"/>
      <c r="B171" s="81"/>
      <c r="C171" s="81"/>
      <c r="D171" s="81"/>
      <c r="E171" s="81"/>
      <c r="F171" s="81"/>
      <c r="G171" s="81"/>
      <c r="H171" s="81"/>
      <c r="I171" s="81"/>
      <c r="J171" s="81"/>
      <c r="K171" s="88"/>
      <c r="L171" s="88"/>
      <c r="M171" s="88"/>
      <c r="N171" s="89"/>
      <c r="O171" s="88"/>
      <c r="P171" s="88"/>
      <c r="Q171" s="88"/>
      <c r="R171" s="88"/>
      <c r="S171" s="88"/>
      <c r="T171" s="69">
        <v>88200</v>
      </c>
      <c r="U171" s="72">
        <v>9967.81</v>
      </c>
      <c r="V171" s="72">
        <f t="shared" si="70"/>
        <v>98167.81</v>
      </c>
      <c r="W171" s="39">
        <v>10</v>
      </c>
      <c r="X171" s="66"/>
      <c r="Y171" s="67"/>
      <c r="Z171" s="66"/>
    </row>
    <row r="172" spans="1:26" ht="11.4" customHeight="1">
      <c r="A172" s="84"/>
      <c r="B172" s="81"/>
      <c r="C172" s="81"/>
      <c r="D172" s="81"/>
      <c r="E172" s="81"/>
      <c r="F172" s="81"/>
      <c r="G172" s="81"/>
      <c r="H172" s="81"/>
      <c r="I172" s="81"/>
      <c r="J172" s="81"/>
      <c r="K172" s="88"/>
      <c r="L172" s="88"/>
      <c r="M172" s="88"/>
      <c r="N172" s="89"/>
      <c r="O172" s="88"/>
      <c r="P172" s="88"/>
      <c r="Q172" s="88"/>
      <c r="R172" s="88"/>
      <c r="S172" s="88"/>
      <c r="T172" s="69">
        <v>88200</v>
      </c>
      <c r="U172" s="72">
        <v>9363.7000000000007</v>
      </c>
      <c r="V172" s="72">
        <f t="shared" si="70"/>
        <v>97563.7</v>
      </c>
      <c r="W172" s="92">
        <v>11</v>
      </c>
      <c r="X172" s="66"/>
      <c r="Y172" s="67"/>
      <c r="Z172" s="66"/>
    </row>
    <row r="173" spans="1:26" ht="11.4" customHeight="1">
      <c r="A173" s="84"/>
      <c r="B173" s="81"/>
      <c r="C173" s="81"/>
      <c r="D173" s="81"/>
      <c r="E173" s="81"/>
      <c r="F173" s="81"/>
      <c r="G173" s="81"/>
      <c r="H173" s="81"/>
      <c r="I173" s="81"/>
      <c r="J173" s="81"/>
      <c r="K173" s="88"/>
      <c r="L173" s="88"/>
      <c r="M173" s="88"/>
      <c r="N173" s="89"/>
      <c r="O173" s="88"/>
      <c r="P173" s="88"/>
      <c r="Q173" s="88"/>
      <c r="R173" s="88"/>
      <c r="S173" s="88"/>
      <c r="T173" s="69">
        <v>88200</v>
      </c>
      <c r="U173" s="72">
        <v>8155.48</v>
      </c>
      <c r="V173" s="72">
        <f t="shared" si="70"/>
        <v>96355.48</v>
      </c>
      <c r="W173" s="92">
        <v>12</v>
      </c>
      <c r="X173" s="66"/>
      <c r="Y173" s="67"/>
      <c r="Z173" s="66"/>
    </row>
    <row r="174" spans="1:26" ht="11.4" customHeight="1">
      <c r="A174" s="84"/>
      <c r="B174" s="81"/>
      <c r="C174" s="81"/>
      <c r="D174" s="81"/>
      <c r="E174" s="81"/>
      <c r="F174" s="81"/>
      <c r="G174" s="81"/>
      <c r="H174" s="81"/>
      <c r="I174" s="81"/>
      <c r="J174" s="81"/>
      <c r="K174" s="272"/>
      <c r="L174" s="272"/>
      <c r="M174" s="272"/>
      <c r="N174" s="284"/>
      <c r="O174" s="272"/>
      <c r="P174" s="272"/>
      <c r="Q174" s="272"/>
      <c r="R174" s="272"/>
      <c r="S174" s="272"/>
      <c r="T174" s="275">
        <f>SUM(T171:T173)</f>
        <v>264600</v>
      </c>
      <c r="U174" s="286">
        <f t="shared" ref="U174" si="72">SUM(U171:U173)</f>
        <v>27486.99</v>
      </c>
      <c r="V174" s="72">
        <f t="shared" si="70"/>
        <v>292086.99</v>
      </c>
      <c r="W174" s="278"/>
      <c r="X174" s="66">
        <f t="shared" si="56"/>
        <v>264600</v>
      </c>
      <c r="Y174" s="67">
        <f t="shared" si="57"/>
        <v>27486.99</v>
      </c>
      <c r="Z174" s="66">
        <f t="shared" si="47"/>
        <v>292086.99</v>
      </c>
    </row>
    <row r="175" spans="1:26" ht="11.4" customHeight="1">
      <c r="A175" s="84"/>
      <c r="B175" s="81"/>
      <c r="C175" s="81"/>
      <c r="D175" s="81"/>
      <c r="E175" s="81"/>
      <c r="F175" s="81"/>
      <c r="G175" s="81"/>
      <c r="H175" s="81"/>
      <c r="I175" s="81"/>
      <c r="J175" s="81"/>
      <c r="K175" s="88"/>
      <c r="L175" s="88"/>
      <c r="M175" s="88"/>
      <c r="N175" s="89"/>
      <c r="O175" s="88"/>
      <c r="P175" s="88"/>
      <c r="Q175" s="88"/>
      <c r="R175" s="88"/>
      <c r="S175" s="88"/>
      <c r="T175" s="88">
        <f>T162+T166+T170+T174</f>
        <v>1058400</v>
      </c>
      <c r="U175" s="91">
        <f t="shared" ref="U175" si="73">U162+U166+U170+U174</f>
        <v>159787</v>
      </c>
      <c r="V175" s="80">
        <f t="shared" si="70"/>
        <v>1218187</v>
      </c>
      <c r="W175" s="84" t="s">
        <v>567</v>
      </c>
      <c r="X175" s="66">
        <f t="shared" si="56"/>
        <v>1058400</v>
      </c>
      <c r="Y175" s="67">
        <f t="shared" si="57"/>
        <v>159787</v>
      </c>
      <c r="Z175" s="66">
        <f t="shared" si="47"/>
        <v>1218187</v>
      </c>
    </row>
    <row r="176" spans="1:26" ht="11.4" customHeight="1">
      <c r="A176" s="84"/>
      <c r="B176" s="81"/>
      <c r="C176" s="81"/>
      <c r="D176" s="81"/>
      <c r="E176" s="81"/>
      <c r="F176" s="81"/>
      <c r="G176" s="81"/>
      <c r="H176" s="81"/>
      <c r="I176" s="81"/>
      <c r="J176" s="81"/>
      <c r="K176" s="88"/>
      <c r="L176" s="88"/>
      <c r="M176" s="88"/>
      <c r="N176" s="89"/>
      <c r="O176" s="88"/>
      <c r="P176" s="88"/>
      <c r="Q176" s="88"/>
      <c r="R176" s="88"/>
      <c r="S176" s="88"/>
      <c r="T176" s="69">
        <v>88200</v>
      </c>
      <c r="U176" s="72">
        <v>7490.96</v>
      </c>
      <c r="V176" s="72">
        <f t="shared" si="70"/>
        <v>95690.96</v>
      </c>
      <c r="W176" s="39" t="s">
        <v>568</v>
      </c>
      <c r="X176" s="66">
        <f>X162+X166+X170+X174</f>
        <v>1058400</v>
      </c>
      <c r="Y176" s="67">
        <f>Y162+Y166+Y170+Y174</f>
        <v>159787</v>
      </c>
      <c r="Z176" s="66">
        <f>Z162+Z166+Z170+Z174</f>
        <v>1218187</v>
      </c>
    </row>
    <row r="177" spans="1:26" ht="11.4" customHeight="1">
      <c r="A177" s="84"/>
      <c r="B177" s="81"/>
      <c r="C177" s="81"/>
      <c r="D177" s="81"/>
      <c r="E177" s="81"/>
      <c r="F177" s="81"/>
      <c r="G177" s="81"/>
      <c r="H177" s="81"/>
      <c r="I177" s="81"/>
      <c r="J177" s="81"/>
      <c r="K177" s="88"/>
      <c r="L177" s="88"/>
      <c r="M177" s="88"/>
      <c r="N177" s="89"/>
      <c r="O177" s="88"/>
      <c r="P177" s="88"/>
      <c r="Q177" s="88"/>
      <c r="R177" s="88"/>
      <c r="S177" s="88"/>
      <c r="T177" s="69">
        <v>88200</v>
      </c>
      <c r="U177" s="72">
        <v>6554.59</v>
      </c>
      <c r="V177" s="72">
        <f t="shared" si="70"/>
        <v>94754.59</v>
      </c>
      <c r="W177" s="39">
        <v>2</v>
      </c>
      <c r="X177" s="66"/>
      <c r="Y177" s="67"/>
      <c r="Z177" s="66"/>
    </row>
    <row r="178" spans="1:26" ht="11.4" customHeight="1">
      <c r="A178" s="84"/>
      <c r="B178" s="81"/>
      <c r="C178" s="81"/>
      <c r="D178" s="81"/>
      <c r="E178" s="81"/>
      <c r="F178" s="81"/>
      <c r="G178" s="81"/>
      <c r="H178" s="81"/>
      <c r="I178" s="81"/>
      <c r="J178" s="81"/>
      <c r="K178" s="88"/>
      <c r="L178" s="88"/>
      <c r="M178" s="88"/>
      <c r="N178" s="89"/>
      <c r="O178" s="88"/>
      <c r="P178" s="88"/>
      <c r="Q178" s="88"/>
      <c r="R178" s="88"/>
      <c r="S178" s="88"/>
      <c r="T178" s="69">
        <v>88200</v>
      </c>
      <c r="U178" s="70">
        <v>5255.75</v>
      </c>
      <c r="V178" s="72">
        <f t="shared" si="70"/>
        <v>93455.75</v>
      </c>
      <c r="W178" s="39">
        <v>3</v>
      </c>
      <c r="X178" s="66"/>
      <c r="Y178" s="67"/>
      <c r="Z178" s="66"/>
    </row>
    <row r="179" spans="1:26" ht="11.4" customHeight="1">
      <c r="A179" s="84"/>
      <c r="B179" s="81"/>
      <c r="C179" s="81"/>
      <c r="D179" s="81"/>
      <c r="E179" s="81"/>
      <c r="F179" s="81"/>
      <c r="G179" s="81"/>
      <c r="H179" s="81"/>
      <c r="I179" s="81"/>
      <c r="J179" s="81"/>
      <c r="K179" s="272"/>
      <c r="L179" s="272"/>
      <c r="M179" s="272"/>
      <c r="N179" s="284"/>
      <c r="O179" s="272"/>
      <c r="P179" s="272"/>
      <c r="Q179" s="272"/>
      <c r="R179" s="272"/>
      <c r="S179" s="272"/>
      <c r="T179" s="275">
        <f>SUM(T176:T178)</f>
        <v>264600</v>
      </c>
      <c r="U179" s="286">
        <f t="shared" ref="U179" si="74">SUM(U176:U178)</f>
        <v>19301.3</v>
      </c>
      <c r="V179" s="76">
        <f t="shared" si="70"/>
        <v>283901.3</v>
      </c>
      <c r="W179" s="61"/>
      <c r="X179" s="66">
        <f t="shared" si="56"/>
        <v>264600</v>
      </c>
      <c r="Y179" s="67">
        <f t="shared" si="57"/>
        <v>19301.3</v>
      </c>
      <c r="Z179" s="66">
        <f t="shared" ref="Z179:Z192" si="75">D179+E179+H179+M179+P179+Q179+V179</f>
        <v>283901.3</v>
      </c>
    </row>
    <row r="180" spans="1:26" ht="11.4" customHeight="1">
      <c r="A180" s="84"/>
      <c r="B180" s="81"/>
      <c r="C180" s="81"/>
      <c r="D180" s="81"/>
      <c r="E180" s="81"/>
      <c r="F180" s="81"/>
      <c r="G180" s="81"/>
      <c r="H180" s="81"/>
      <c r="I180" s="81"/>
      <c r="J180" s="81"/>
      <c r="K180" s="88"/>
      <c r="L180" s="88"/>
      <c r="M180" s="88"/>
      <c r="N180" s="89"/>
      <c r="O180" s="88"/>
      <c r="P180" s="88"/>
      <c r="Q180" s="88"/>
      <c r="R180" s="88"/>
      <c r="S180" s="88"/>
      <c r="T180" s="69">
        <v>88200</v>
      </c>
      <c r="U180" s="70">
        <v>4681.8500000000004</v>
      </c>
      <c r="V180" s="72">
        <f t="shared" si="70"/>
        <v>92881.85</v>
      </c>
      <c r="W180" s="39">
        <v>4</v>
      </c>
      <c r="X180" s="66"/>
      <c r="Y180" s="67"/>
      <c r="Z180" s="66"/>
    </row>
    <row r="181" spans="1:26" ht="11.4" customHeight="1">
      <c r="A181" s="84"/>
      <c r="B181" s="81"/>
      <c r="C181" s="81"/>
      <c r="D181" s="81"/>
      <c r="E181" s="81"/>
      <c r="F181" s="81"/>
      <c r="G181" s="81"/>
      <c r="H181" s="81"/>
      <c r="I181" s="81"/>
      <c r="J181" s="81"/>
      <c r="K181" s="88"/>
      <c r="L181" s="88"/>
      <c r="M181" s="88"/>
      <c r="N181" s="89"/>
      <c r="O181" s="88"/>
      <c r="P181" s="88"/>
      <c r="Q181" s="88"/>
      <c r="R181" s="88"/>
      <c r="S181" s="88"/>
      <c r="T181" s="69">
        <v>88200</v>
      </c>
      <c r="U181" s="70">
        <v>3624.66</v>
      </c>
      <c r="V181" s="72">
        <f t="shared" si="70"/>
        <v>91824.66</v>
      </c>
      <c r="W181" s="39">
        <v>5</v>
      </c>
      <c r="X181" s="66"/>
      <c r="Y181" s="67"/>
      <c r="Z181" s="66"/>
    </row>
    <row r="182" spans="1:26" ht="11.4" customHeight="1">
      <c r="A182" s="84"/>
      <c r="B182" s="81"/>
      <c r="C182" s="81"/>
      <c r="D182" s="81"/>
      <c r="E182" s="81"/>
      <c r="F182" s="81"/>
      <c r="G182" s="81"/>
      <c r="H182" s="81"/>
      <c r="I182" s="81"/>
      <c r="J182" s="81"/>
      <c r="K182" s="88"/>
      <c r="L182" s="88"/>
      <c r="M182" s="88"/>
      <c r="N182" s="89"/>
      <c r="O182" s="88"/>
      <c r="P182" s="88"/>
      <c r="Q182" s="88"/>
      <c r="R182" s="88"/>
      <c r="S182" s="88"/>
      <c r="T182" s="69">
        <v>88200</v>
      </c>
      <c r="U182" s="70">
        <v>2809.11</v>
      </c>
      <c r="V182" s="72">
        <f t="shared" si="70"/>
        <v>91009.11</v>
      </c>
      <c r="W182" s="39">
        <v>6</v>
      </c>
      <c r="X182" s="66"/>
      <c r="Y182" s="67"/>
      <c r="Z182" s="66"/>
    </row>
    <row r="183" spans="1:26" ht="11.4" customHeight="1">
      <c r="A183" s="84"/>
      <c r="B183" s="81"/>
      <c r="C183" s="81"/>
      <c r="D183" s="81"/>
      <c r="E183" s="81"/>
      <c r="F183" s="81"/>
      <c r="G183" s="81"/>
      <c r="H183" s="81"/>
      <c r="I183" s="81"/>
      <c r="J183" s="81"/>
      <c r="K183" s="272"/>
      <c r="L183" s="272"/>
      <c r="M183" s="272"/>
      <c r="N183" s="284"/>
      <c r="O183" s="272"/>
      <c r="P183" s="272"/>
      <c r="Q183" s="272"/>
      <c r="R183" s="272"/>
      <c r="S183" s="272"/>
      <c r="T183" s="275">
        <f>SUM(T180:T182)</f>
        <v>264600</v>
      </c>
      <c r="U183" s="286">
        <f t="shared" ref="U183" si="76">SUM(U180:U182)</f>
        <v>11115.62</v>
      </c>
      <c r="V183" s="76">
        <f t="shared" si="70"/>
        <v>275715.62</v>
      </c>
      <c r="W183" s="61"/>
      <c r="X183" s="66">
        <f t="shared" si="56"/>
        <v>264600</v>
      </c>
      <c r="Y183" s="67">
        <f t="shared" si="57"/>
        <v>11115.62</v>
      </c>
      <c r="Z183" s="66">
        <f t="shared" si="75"/>
        <v>275715.62</v>
      </c>
    </row>
    <row r="184" spans="1:26" ht="11.4" customHeight="1">
      <c r="A184" s="84"/>
      <c r="B184" s="81"/>
      <c r="C184" s="81"/>
      <c r="D184" s="81"/>
      <c r="E184" s="81"/>
      <c r="F184" s="81"/>
      <c r="G184" s="81"/>
      <c r="H184" s="81"/>
      <c r="I184" s="81"/>
      <c r="J184" s="81"/>
      <c r="K184" s="88"/>
      <c r="L184" s="88"/>
      <c r="M184" s="88"/>
      <c r="N184" s="89"/>
      <c r="O184" s="88"/>
      <c r="P184" s="88"/>
      <c r="Q184" s="88"/>
      <c r="R184" s="88"/>
      <c r="S184" s="88"/>
      <c r="T184" s="69">
        <v>176400</v>
      </c>
      <c r="U184" s="72">
        <v>2416.44</v>
      </c>
      <c r="V184" s="72">
        <f t="shared" si="70"/>
        <v>178816.44</v>
      </c>
      <c r="W184" s="39">
        <v>7</v>
      </c>
      <c r="X184" s="66"/>
      <c r="Y184" s="67"/>
      <c r="Z184" s="66"/>
    </row>
    <row r="185" spans="1:26" ht="11.4" customHeight="1">
      <c r="A185" s="84"/>
      <c r="B185" s="81"/>
      <c r="C185" s="81"/>
      <c r="D185" s="81"/>
      <c r="E185" s="81"/>
      <c r="F185" s="81"/>
      <c r="G185" s="81"/>
      <c r="H185" s="81"/>
      <c r="I185" s="81"/>
      <c r="J185" s="81"/>
      <c r="K185" s="88"/>
      <c r="L185" s="88"/>
      <c r="M185" s="88"/>
      <c r="N185" s="89"/>
      <c r="O185" s="88"/>
      <c r="P185" s="88"/>
      <c r="Q185" s="88"/>
      <c r="R185" s="88"/>
      <c r="S185" s="88"/>
      <c r="T185" s="69"/>
      <c r="U185" s="80"/>
      <c r="V185" s="72"/>
      <c r="W185" s="39">
        <v>8</v>
      </c>
      <c r="X185" s="66"/>
      <c r="Y185" s="67"/>
      <c r="Z185" s="66"/>
    </row>
    <row r="186" spans="1:26" ht="11.4" customHeight="1">
      <c r="A186" s="84"/>
      <c r="B186" s="81"/>
      <c r="C186" s="81"/>
      <c r="D186" s="81"/>
      <c r="E186" s="81"/>
      <c r="F186" s="81"/>
      <c r="G186" s="81"/>
      <c r="H186" s="81"/>
      <c r="I186" s="81"/>
      <c r="J186" s="81"/>
      <c r="K186" s="88"/>
      <c r="L186" s="88"/>
      <c r="M186" s="88"/>
      <c r="N186" s="89"/>
      <c r="O186" s="88"/>
      <c r="P186" s="88"/>
      <c r="Q186" s="88"/>
      <c r="R186" s="88"/>
      <c r="S186" s="88"/>
      <c r="T186" s="69"/>
      <c r="U186" s="91"/>
      <c r="V186" s="72"/>
      <c r="W186" s="39">
        <v>9</v>
      </c>
      <c r="X186" s="66"/>
      <c r="Y186" s="67"/>
      <c r="Z186" s="66"/>
    </row>
    <row r="187" spans="1:26" ht="11.4" customHeight="1">
      <c r="A187" s="84"/>
      <c r="B187" s="81"/>
      <c r="C187" s="81"/>
      <c r="D187" s="81"/>
      <c r="E187" s="81"/>
      <c r="F187" s="81"/>
      <c r="G187" s="81"/>
      <c r="H187" s="81"/>
      <c r="I187" s="81"/>
      <c r="J187" s="81"/>
      <c r="K187" s="272"/>
      <c r="L187" s="272"/>
      <c r="M187" s="272"/>
      <c r="N187" s="284"/>
      <c r="O187" s="272"/>
      <c r="P187" s="272"/>
      <c r="Q187" s="272"/>
      <c r="R187" s="272"/>
      <c r="S187" s="272"/>
      <c r="T187" s="275">
        <f>SUM(T184:T186)</f>
        <v>176400</v>
      </c>
      <c r="U187" s="286">
        <f t="shared" ref="U187" si="77">SUM(U184:U186)</f>
        <v>2416.44</v>
      </c>
      <c r="V187" s="76">
        <f t="shared" si="70"/>
        <v>178816.44</v>
      </c>
      <c r="W187" s="61"/>
      <c r="X187" s="66">
        <f t="shared" si="56"/>
        <v>176400</v>
      </c>
      <c r="Y187" s="67">
        <f t="shared" si="57"/>
        <v>2416.44</v>
      </c>
      <c r="Z187" s="66">
        <f t="shared" si="75"/>
        <v>178816.44</v>
      </c>
    </row>
    <row r="188" spans="1:26" ht="11.4" customHeight="1">
      <c r="A188" s="84"/>
      <c r="B188" s="81"/>
      <c r="C188" s="81"/>
      <c r="D188" s="81"/>
      <c r="E188" s="81"/>
      <c r="F188" s="81"/>
      <c r="G188" s="81"/>
      <c r="H188" s="81"/>
      <c r="I188" s="81"/>
      <c r="J188" s="81"/>
      <c r="K188" s="88"/>
      <c r="L188" s="88"/>
      <c r="M188" s="88"/>
      <c r="N188" s="89"/>
      <c r="O188" s="88"/>
      <c r="P188" s="88"/>
      <c r="Q188" s="88"/>
      <c r="R188" s="88"/>
      <c r="S188" s="88"/>
      <c r="T188" s="69"/>
      <c r="U188" s="91"/>
      <c r="V188" s="88"/>
      <c r="W188" s="39">
        <v>10</v>
      </c>
      <c r="X188" s="66"/>
      <c r="Y188" s="67"/>
      <c r="Z188" s="66"/>
    </row>
    <row r="189" spans="1:26" ht="11.4" customHeight="1">
      <c r="A189" s="84"/>
      <c r="B189" s="81"/>
      <c r="C189" s="81"/>
      <c r="D189" s="81"/>
      <c r="E189" s="81"/>
      <c r="F189" s="81"/>
      <c r="G189" s="81"/>
      <c r="H189" s="81"/>
      <c r="I189" s="81"/>
      <c r="J189" s="81"/>
      <c r="K189" s="88"/>
      <c r="L189" s="88"/>
      <c r="M189" s="88"/>
      <c r="N189" s="89"/>
      <c r="O189" s="88"/>
      <c r="P189" s="88"/>
      <c r="Q189" s="88"/>
      <c r="R189" s="88"/>
      <c r="S189" s="88"/>
      <c r="T189" s="69"/>
      <c r="U189" s="91"/>
      <c r="V189" s="88"/>
      <c r="W189" s="92">
        <v>11</v>
      </c>
      <c r="X189" s="66"/>
      <c r="Y189" s="67"/>
      <c r="Z189" s="66"/>
    </row>
    <row r="190" spans="1:26" ht="11.4" customHeight="1">
      <c r="A190" s="84"/>
      <c r="B190" s="81"/>
      <c r="C190" s="81"/>
      <c r="D190" s="81"/>
      <c r="E190" s="81"/>
      <c r="F190" s="81"/>
      <c r="G190" s="81"/>
      <c r="H190" s="81"/>
      <c r="I190" s="81"/>
      <c r="J190" s="81"/>
      <c r="K190" s="88"/>
      <c r="L190" s="88"/>
      <c r="M190" s="88"/>
      <c r="N190" s="89"/>
      <c r="O190" s="88"/>
      <c r="P190" s="88"/>
      <c r="Q190" s="88"/>
      <c r="R190" s="88"/>
      <c r="S190" s="88"/>
      <c r="T190" s="88"/>
      <c r="U190" s="91"/>
      <c r="V190" s="88"/>
      <c r="W190" s="92">
        <v>12</v>
      </c>
      <c r="X190" s="66"/>
      <c r="Y190" s="67"/>
      <c r="Z190" s="66"/>
    </row>
    <row r="191" spans="1:26" ht="11.4" customHeight="1">
      <c r="A191" s="84"/>
      <c r="B191" s="81"/>
      <c r="C191" s="81"/>
      <c r="D191" s="81"/>
      <c r="E191" s="81"/>
      <c r="F191" s="81"/>
      <c r="G191" s="81"/>
      <c r="H191" s="81"/>
      <c r="I191" s="81"/>
      <c r="J191" s="81"/>
      <c r="K191" s="88"/>
      <c r="L191" s="88"/>
      <c r="M191" s="88"/>
      <c r="N191" s="89"/>
      <c r="O191" s="88"/>
      <c r="P191" s="88"/>
      <c r="Q191" s="88"/>
      <c r="R191" s="88"/>
      <c r="S191" s="88"/>
      <c r="T191" s="88"/>
      <c r="U191" s="91"/>
      <c r="V191" s="88"/>
      <c r="W191" s="92"/>
      <c r="X191" s="66">
        <f t="shared" ref="X191" si="78">B191+F191+I191+K191+N191+R191+T191</f>
        <v>0</v>
      </c>
      <c r="Y191" s="67">
        <f t="shared" ref="X191:Y192" si="79">C191+G191+J191+L191+O191+S191+U191</f>
        <v>0</v>
      </c>
      <c r="Z191" s="66">
        <f t="shared" si="75"/>
        <v>0</v>
      </c>
    </row>
    <row r="192" spans="1:26" ht="11.4" customHeight="1">
      <c r="A192" s="84"/>
      <c r="B192" s="81"/>
      <c r="C192" s="81"/>
      <c r="D192" s="81"/>
      <c r="E192" s="81"/>
      <c r="F192" s="81"/>
      <c r="G192" s="81"/>
      <c r="H192" s="81"/>
      <c r="I192" s="81"/>
      <c r="J192" s="81"/>
      <c r="K192" s="88"/>
      <c r="L192" s="88"/>
      <c r="M192" s="88"/>
      <c r="N192" s="89"/>
      <c r="O192" s="88"/>
      <c r="P192" s="88"/>
      <c r="Q192" s="88"/>
      <c r="R192" s="88"/>
      <c r="S192" s="88"/>
      <c r="T192" s="88">
        <f>T179+T183+T187+T191</f>
        <v>705600</v>
      </c>
      <c r="U192" s="91">
        <f t="shared" ref="U192:V192" si="80">U179+U183+U187+U191</f>
        <v>32833.360000000001</v>
      </c>
      <c r="V192" s="88">
        <f t="shared" si="80"/>
        <v>738433.36</v>
      </c>
      <c r="W192" s="84" t="s">
        <v>569</v>
      </c>
      <c r="X192" s="67">
        <f t="shared" si="79"/>
        <v>705600</v>
      </c>
      <c r="Y192" s="67">
        <f t="shared" si="79"/>
        <v>32833.360000000001</v>
      </c>
      <c r="Z192" s="66">
        <f t="shared" si="75"/>
        <v>738433.36</v>
      </c>
    </row>
    <row r="193" spans="1:26" ht="11.4" customHeight="1">
      <c r="A193" s="84"/>
      <c r="B193" s="81"/>
      <c r="C193" s="81"/>
      <c r="D193" s="81"/>
      <c r="E193" s="81"/>
      <c r="F193" s="81"/>
      <c r="G193" s="81"/>
      <c r="H193" s="81"/>
      <c r="I193" s="81"/>
      <c r="J193" s="81"/>
      <c r="K193" s="88"/>
      <c r="L193" s="88"/>
      <c r="M193" s="88"/>
      <c r="N193" s="89"/>
      <c r="O193" s="88"/>
      <c r="P193" s="88"/>
      <c r="Q193" s="88"/>
      <c r="R193" s="88"/>
      <c r="S193" s="88"/>
      <c r="T193" s="88"/>
      <c r="U193" s="91"/>
      <c r="V193" s="88"/>
      <c r="W193" s="84"/>
      <c r="X193" s="66">
        <f>X179+X183+X187+X191</f>
        <v>705600</v>
      </c>
      <c r="Y193" s="67">
        <f>Y179+Y183+Y187+Y191</f>
        <v>32833.360000000001</v>
      </c>
      <c r="Z193" s="66">
        <f>Z179+Z183+Z187+Z191</f>
        <v>738433.36</v>
      </c>
    </row>
    <row r="194" spans="1:26" ht="11.4" customHeight="1">
      <c r="A194" s="84"/>
      <c r="B194" s="81"/>
      <c r="C194" s="81"/>
      <c r="D194" s="81"/>
      <c r="E194" s="81"/>
      <c r="F194" s="81"/>
      <c r="G194" s="81"/>
      <c r="H194" s="81"/>
      <c r="I194" s="81"/>
      <c r="J194" s="81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4"/>
      <c r="X194" s="66"/>
      <c r="Y194" s="67"/>
      <c r="Z194" s="66"/>
    </row>
    <row r="195" spans="1:26" ht="11.4" customHeight="1">
      <c r="A195" s="104"/>
      <c r="B195" s="105"/>
      <c r="C195" s="105"/>
      <c r="D195" s="105"/>
      <c r="E195" s="105"/>
      <c r="F195" s="105"/>
      <c r="G195" s="105"/>
      <c r="H195" s="105"/>
      <c r="I195" s="105"/>
      <c r="J195" s="105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4"/>
      <c r="X195" s="66"/>
      <c r="Y195" s="67"/>
      <c r="Z195" s="66"/>
    </row>
    <row r="196" spans="1:26" ht="11.4" customHeight="1">
      <c r="A196" s="104"/>
      <c r="B196" s="105"/>
      <c r="C196" s="105"/>
      <c r="D196" s="105"/>
      <c r="E196" s="105"/>
      <c r="F196" s="105"/>
      <c r="G196" s="105"/>
      <c r="H196" s="105"/>
      <c r="I196" s="105"/>
      <c r="J196" s="105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4"/>
      <c r="X196" s="66"/>
      <c r="Y196" s="67"/>
      <c r="Z196" s="66"/>
    </row>
    <row r="197" spans="1:26" ht="11.4" customHeight="1">
      <c r="A197" s="104"/>
      <c r="B197" s="105"/>
      <c r="C197" s="105"/>
      <c r="D197" s="105"/>
      <c r="E197" s="105"/>
      <c r="F197" s="105"/>
      <c r="G197" s="105"/>
      <c r="H197" s="105"/>
      <c r="I197" s="105"/>
      <c r="J197" s="105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7"/>
      <c r="V197" s="106"/>
      <c r="W197" s="104"/>
      <c r="X197" s="66"/>
      <c r="Y197" s="66"/>
      <c r="Z197" s="66"/>
    </row>
    <row r="198" spans="1:26" ht="11.4" customHeight="1">
      <c r="A198" s="104"/>
      <c r="B198" s="105"/>
      <c r="C198" s="105"/>
      <c r="D198" s="105"/>
      <c r="E198" s="105"/>
      <c r="F198" s="105"/>
      <c r="G198" s="105"/>
      <c r="H198" s="105"/>
      <c r="I198" s="105"/>
      <c r="J198" s="105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7"/>
      <c r="V198" s="106"/>
      <c r="W198" s="104"/>
      <c r="X198" s="66"/>
      <c r="Y198" s="66"/>
      <c r="Z198" s="66"/>
    </row>
    <row r="199" spans="1:26">
      <c r="U199" s="107"/>
      <c r="W199" s="292">
        <f>X192+X175+X158</f>
        <v>2822400</v>
      </c>
    </row>
    <row r="200" spans="1:26">
      <c r="U200" s="107"/>
    </row>
    <row r="201" spans="1:26">
      <c r="U201" s="107"/>
    </row>
    <row r="202" spans="1:26" ht="31.5" customHeight="1">
      <c r="K202" s="734" t="s">
        <v>351</v>
      </c>
      <c r="L202" s="734"/>
      <c r="M202" s="270" t="s">
        <v>463</v>
      </c>
      <c r="N202" s="22" t="s">
        <v>460</v>
      </c>
      <c r="O202" s="22"/>
      <c r="P202" s="23"/>
      <c r="Q202" s="23"/>
      <c r="R202" s="23"/>
      <c r="S202" s="23"/>
      <c r="T202" s="23"/>
      <c r="U202" s="107"/>
      <c r="V202" s="23"/>
    </row>
    <row r="203" spans="1:26" ht="15.6">
      <c r="K203" s="115" t="s">
        <v>462</v>
      </c>
      <c r="L203" s="21"/>
      <c r="M203" s="269" t="s">
        <v>69</v>
      </c>
      <c r="N203" s="733"/>
      <c r="O203" s="733"/>
      <c r="P203" s="733"/>
      <c r="Q203" s="115"/>
      <c r="R203" s="115"/>
      <c r="S203" s="115"/>
      <c r="T203" s="115"/>
      <c r="U203" s="107"/>
      <c r="V203" s="115"/>
    </row>
    <row r="204" spans="1:26" ht="15.6">
      <c r="N204" s="733"/>
      <c r="O204" s="733"/>
      <c r="P204" s="733"/>
      <c r="Q204" s="115"/>
      <c r="R204" s="115"/>
      <c r="S204" s="115"/>
      <c r="T204" s="115"/>
      <c r="U204" s="107"/>
      <c r="V204" s="115"/>
    </row>
    <row r="205" spans="1:26">
      <c r="U205" s="107"/>
    </row>
    <row r="206" spans="1:26">
      <c r="U206" s="107"/>
    </row>
    <row r="207" spans="1:26">
      <c r="U207" s="107"/>
    </row>
    <row r="208" spans="1:26">
      <c r="U208" s="107"/>
    </row>
    <row r="209" spans="21:21">
      <c r="U209" s="107"/>
    </row>
    <row r="210" spans="21:21">
      <c r="U210" s="279"/>
    </row>
    <row r="211" spans="21:21">
      <c r="U211" s="279"/>
    </row>
    <row r="212" spans="21:21">
      <c r="U212" s="279"/>
    </row>
    <row r="213" spans="21:21">
      <c r="U213" s="104"/>
    </row>
  </sheetData>
  <sheetProtection algorithmName="SHA-512" hashValue="6JZvwBr9J9I3uF2SR3dcwLgf1f4cn+cx6JXh0hH/AmWtDbRwCKZSPuZh3j/rHdthWj8q/j2uCfmOx4rgeXsrbQ==" saltValue="oqMS2wK2zTZwQejW710puA==" spinCount="100000" sheet="1" objects="1" scenarios="1" selectLockedCells="1" selectUnlockedCells="1"/>
  <mergeCells count="12">
    <mergeCell ref="N203:P204"/>
    <mergeCell ref="K202:L202"/>
    <mergeCell ref="A1:J1"/>
    <mergeCell ref="N2:P2"/>
    <mergeCell ref="E2:G2"/>
    <mergeCell ref="X2:Z2"/>
    <mergeCell ref="A2:A3"/>
    <mergeCell ref="B2:D2"/>
    <mergeCell ref="H2:J2"/>
    <mergeCell ref="K2:M2"/>
    <mergeCell ref="Q2:S2"/>
    <mergeCell ref="T2:V2"/>
  </mergeCells>
  <pageMargins left="0.15748031496062992" right="0.17" top="0.17" bottom="0.16" header="0.17" footer="0.1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89"/>
  <sheetViews>
    <sheetView tabSelected="1" view="pageBreakPreview" topLeftCell="A65" zoomScaleNormal="100" zoomScaleSheetLayoutView="100" workbookViewId="0">
      <selection activeCell="F85" sqref="F85"/>
    </sheetView>
  </sheetViews>
  <sheetFormatPr defaultColWidth="9.109375" defaultRowHeight="15.6"/>
  <cols>
    <col min="1" max="1" width="38.33203125" style="325" customWidth="1"/>
    <col min="2" max="2" width="12.109375" style="334" customWidth="1"/>
    <col min="3" max="4" width="12.109375" style="335" customWidth="1"/>
    <col min="5" max="5" width="10" style="335" customWidth="1"/>
    <col min="6" max="6" width="11.5546875" style="335" customWidth="1"/>
    <col min="7" max="7" width="8.88671875" style="335" customWidth="1"/>
    <col min="8" max="8" width="11" style="335" customWidth="1"/>
    <col min="9" max="16384" width="9.109375" style="325"/>
  </cols>
  <sheetData>
    <row r="1" spans="1:9">
      <c r="A1" s="747" t="s">
        <v>349</v>
      </c>
      <c r="B1" s="747"/>
      <c r="C1" s="747"/>
      <c r="D1" s="747"/>
      <c r="E1" s="747"/>
      <c r="F1" s="747"/>
      <c r="G1" s="747"/>
      <c r="H1" s="747"/>
    </row>
    <row r="2" spans="1:9" ht="17.399999999999999">
      <c r="A2" s="748" t="s">
        <v>627</v>
      </c>
      <c r="B2" s="748"/>
      <c r="C2" s="748"/>
      <c r="D2" s="748"/>
      <c r="E2" s="748"/>
      <c r="F2" s="748"/>
      <c r="G2" s="748"/>
      <c r="H2" s="748"/>
    </row>
    <row r="3" spans="1:9">
      <c r="A3" s="749" t="s">
        <v>395</v>
      </c>
      <c r="B3" s="749"/>
      <c r="C3" s="749"/>
      <c r="D3" s="749"/>
      <c r="E3" s="749"/>
      <c r="F3" s="749"/>
      <c r="G3" s="749"/>
      <c r="H3" s="749"/>
    </row>
    <row r="4" spans="1:9" ht="15.75" customHeight="1">
      <c r="A4" s="741" t="s">
        <v>594</v>
      </c>
      <c r="B4" s="741" t="s">
        <v>671</v>
      </c>
      <c r="C4" s="741" t="s">
        <v>672</v>
      </c>
      <c r="D4" s="741" t="s">
        <v>673</v>
      </c>
      <c r="E4" s="741" t="s">
        <v>595</v>
      </c>
      <c r="F4" s="741"/>
      <c r="G4" s="741"/>
      <c r="H4" s="741"/>
    </row>
    <row r="5" spans="1:9" ht="48.75" customHeight="1">
      <c r="A5" s="741"/>
      <c r="B5" s="741"/>
      <c r="C5" s="741"/>
      <c r="D5" s="741"/>
      <c r="E5" s="742" t="s">
        <v>712</v>
      </c>
      <c r="F5" s="742"/>
      <c r="G5" s="742" t="s">
        <v>713</v>
      </c>
      <c r="H5" s="742"/>
    </row>
    <row r="6" spans="1:9" ht="18" customHeight="1">
      <c r="A6" s="741"/>
      <c r="B6" s="741"/>
      <c r="C6" s="741"/>
      <c r="D6" s="741"/>
      <c r="E6" s="326" t="s">
        <v>596</v>
      </c>
      <c r="F6" s="326" t="s">
        <v>597</v>
      </c>
      <c r="G6" s="326" t="s">
        <v>596</v>
      </c>
      <c r="H6" s="326" t="s">
        <v>597</v>
      </c>
    </row>
    <row r="7" spans="1:9" ht="24" customHeight="1">
      <c r="A7" s="365" t="s">
        <v>598</v>
      </c>
      <c r="B7" s="379">
        <f>SUM(B18:B25)</f>
        <v>150536</v>
      </c>
      <c r="C7" s="379">
        <f t="shared" ref="C7:D7" si="0">SUM(C18:C25)</f>
        <v>153713</v>
      </c>
      <c r="D7" s="379">
        <f t="shared" si="0"/>
        <v>155868</v>
      </c>
      <c r="E7" s="375">
        <f>D7-B7</f>
        <v>5332</v>
      </c>
      <c r="F7" s="376">
        <f>E7/B7*100</f>
        <v>3.5</v>
      </c>
      <c r="G7" s="375">
        <f>D7-C7</f>
        <v>2155</v>
      </c>
      <c r="H7" s="376">
        <f>G7/C7*100</f>
        <v>1.4</v>
      </c>
    </row>
    <row r="8" spans="1:9" ht="22.5" customHeight="1">
      <c r="A8" s="366" t="str">
        <f>'6.1. Інша інфо_1'!A33</f>
        <v>Вивезення твердих побутових відходів</v>
      </c>
      <c r="B8" s="371">
        <f>'6.1. Інша інфо_1'!D33</f>
        <v>98341</v>
      </c>
      <c r="C8" s="380">
        <v>97432</v>
      </c>
      <c r="D8" s="380">
        <f>'6.1. Інша інфо_1'!M33</f>
        <v>100120</v>
      </c>
      <c r="E8" s="377">
        <f>D8-B8</f>
        <v>1779</v>
      </c>
      <c r="F8" s="378">
        <f>E8/B8*100</f>
        <v>1.8</v>
      </c>
      <c r="G8" s="377">
        <f>D8-C8</f>
        <v>2688</v>
      </c>
      <c r="H8" s="378">
        <f>G8/C8*100</f>
        <v>2.8</v>
      </c>
      <c r="I8" s="327"/>
    </row>
    <row r="9" spans="1:9" ht="34.5" customHeight="1">
      <c r="A9" s="366" t="str">
        <f>'6.1. Інша інфо_1'!A34</f>
        <v>Вивезення великогабаритних побутових відходів</v>
      </c>
      <c r="B9" s="371">
        <f>'6.1. Інша інфо_1'!D34</f>
        <v>8547</v>
      </c>
      <c r="C9" s="380">
        <v>8538</v>
      </c>
      <c r="D9" s="380">
        <f>'6.1. Інша інфо_1'!M34</f>
        <v>8573</v>
      </c>
      <c r="E9" s="377">
        <f t="shared" ref="E9:E17" si="1">D9-B9</f>
        <v>26</v>
      </c>
      <c r="F9" s="378">
        <f t="shared" ref="F9:F17" si="2">E9/B9*100</f>
        <v>0.3</v>
      </c>
      <c r="G9" s="377">
        <f t="shared" ref="G9:G17" si="3">D9-C9</f>
        <v>35</v>
      </c>
      <c r="H9" s="378">
        <f t="shared" ref="H9:H17" si="4">G9/C9*100</f>
        <v>0.4</v>
      </c>
      <c r="I9" s="327"/>
    </row>
    <row r="10" spans="1:9" ht="22.5" customHeight="1">
      <c r="A10" s="366" t="str">
        <f>'6.1. Інша інфо_1'!A35</f>
        <v>Захоронення побутових відходів</v>
      </c>
      <c r="B10" s="371">
        <f>'6.1. Інша інфо_1'!D35</f>
        <v>33805</v>
      </c>
      <c r="C10" s="380">
        <v>33799</v>
      </c>
      <c r="D10" s="380">
        <f>'6.1. Інша інфо_1'!M35</f>
        <v>34857</v>
      </c>
      <c r="E10" s="377">
        <f t="shared" si="1"/>
        <v>1052</v>
      </c>
      <c r="F10" s="378">
        <f t="shared" si="2"/>
        <v>3.1</v>
      </c>
      <c r="G10" s="377">
        <f t="shared" si="3"/>
        <v>1058</v>
      </c>
      <c r="H10" s="378">
        <f t="shared" si="4"/>
        <v>3.1</v>
      </c>
      <c r="I10" s="327"/>
    </row>
    <row r="11" spans="1:9" ht="22.5" customHeight="1">
      <c r="A11" s="366" t="str">
        <f>'6.1. Інша інфо_1'!A36</f>
        <v>Благоустрій</v>
      </c>
      <c r="B11" s="371">
        <f>'6.1. Інша інфо_1'!D36</f>
        <v>6475</v>
      </c>
      <c r="C11" s="380">
        <f>'6.1. Інша інфо_1'!G36</f>
        <v>7052</v>
      </c>
      <c r="D11" s="380">
        <f>'6.1. Інша інфо_1'!M36</f>
        <v>7812</v>
      </c>
      <c r="E11" s="377">
        <f t="shared" si="1"/>
        <v>1337</v>
      </c>
      <c r="F11" s="378">
        <f t="shared" si="2"/>
        <v>20.6</v>
      </c>
      <c r="G11" s="377">
        <f t="shared" si="3"/>
        <v>760</v>
      </c>
      <c r="H11" s="378">
        <f t="shared" si="4"/>
        <v>10.8</v>
      </c>
      <c r="I11" s="327"/>
    </row>
    <row r="12" spans="1:9" ht="22.5" customHeight="1">
      <c r="A12" s="366" t="str">
        <f>'6.1. Інша інфо_1'!A37</f>
        <v>Комунальні послуги</v>
      </c>
      <c r="B12" s="371">
        <f>'6.1. Інша інфо_1'!D37</f>
        <v>92</v>
      </c>
      <c r="C12" s="380">
        <v>2439</v>
      </c>
      <c r="D12" s="380">
        <f>'6.1. Інша інфо_1'!M37</f>
        <v>1119</v>
      </c>
      <c r="E12" s="377">
        <f t="shared" si="1"/>
        <v>1027</v>
      </c>
      <c r="F12" s="378">
        <f t="shared" si="2"/>
        <v>1116.3</v>
      </c>
      <c r="G12" s="377">
        <f t="shared" si="3"/>
        <v>-1320</v>
      </c>
      <c r="H12" s="378">
        <f t="shared" si="4"/>
        <v>-54.1</v>
      </c>
      <c r="I12" s="327"/>
    </row>
    <row r="13" spans="1:9" ht="22.5" customHeight="1">
      <c r="A13" s="366" t="s">
        <v>528</v>
      </c>
      <c r="B13" s="371">
        <f>'6.1. Інша інфо_1'!D38+'6.1. Інша інфо_1'!D39</f>
        <v>999</v>
      </c>
      <c r="C13" s="380">
        <v>1629</v>
      </c>
      <c r="D13" s="380">
        <f>'6.1. Інша інфо_1'!M38+'6.1. Інша інфо_1'!M39</f>
        <v>1604</v>
      </c>
      <c r="E13" s="377">
        <f t="shared" si="1"/>
        <v>605</v>
      </c>
      <c r="F13" s="378">
        <f t="shared" si="2"/>
        <v>60.6</v>
      </c>
      <c r="G13" s="377">
        <f t="shared" si="3"/>
        <v>-25</v>
      </c>
      <c r="H13" s="378">
        <f t="shared" si="4"/>
        <v>-1.5</v>
      </c>
      <c r="I13" s="327"/>
    </row>
    <row r="14" spans="1:9" ht="22.5" customHeight="1">
      <c r="A14" s="366" t="str">
        <f>'6.1. Інша інфо_1'!A40</f>
        <v>Передача майнових прав</v>
      </c>
      <c r="B14" s="371">
        <f>'6.1. Інша інфо_1'!D40</f>
        <v>0</v>
      </c>
      <c r="C14" s="380">
        <f>'6.1. Інша інфо_1'!G40</f>
        <v>0</v>
      </c>
      <c r="D14" s="380">
        <f>'6.1. Інша інфо_1'!M40</f>
        <v>0</v>
      </c>
      <c r="E14" s="377">
        <f t="shared" si="1"/>
        <v>0</v>
      </c>
      <c r="F14" s="378" t="e">
        <f t="shared" si="2"/>
        <v>#DIV/0!</v>
      </c>
      <c r="G14" s="377">
        <f t="shared" si="3"/>
        <v>0</v>
      </c>
      <c r="H14" s="378" t="e">
        <f t="shared" si="4"/>
        <v>#DIV/0!</v>
      </c>
      <c r="I14" s="327"/>
    </row>
    <row r="15" spans="1:9" ht="22.5" customHeight="1">
      <c r="A15" s="366" t="str">
        <f>'6.1. Інша інфо_1'!A41</f>
        <v>Робота сортувальної лінії</v>
      </c>
      <c r="B15" s="371">
        <f>'6.1. Інша інфо_1'!D41</f>
        <v>852</v>
      </c>
      <c r="C15" s="380">
        <v>1223</v>
      </c>
      <c r="D15" s="380">
        <f>'6.1. Інша інфо_1'!M41</f>
        <v>1223</v>
      </c>
      <c r="E15" s="377">
        <f t="shared" si="1"/>
        <v>371</v>
      </c>
      <c r="F15" s="378">
        <f t="shared" si="2"/>
        <v>43.5</v>
      </c>
      <c r="G15" s="377">
        <f t="shared" si="3"/>
        <v>0</v>
      </c>
      <c r="H15" s="378">
        <f t="shared" si="4"/>
        <v>0</v>
      </c>
      <c r="I15" s="327"/>
    </row>
    <row r="16" spans="1:9" ht="22.5" customHeight="1">
      <c r="A16" s="366" t="str">
        <f>'6.1. Інша інфо_1'!A42</f>
        <v>Продаж товару</v>
      </c>
      <c r="B16" s="371">
        <f>'6.1. Інша інфо_1'!D42</f>
        <v>15</v>
      </c>
      <c r="C16" s="380">
        <v>18</v>
      </c>
      <c r="D16" s="380">
        <f>'6.1. Інша інфо_1'!M42</f>
        <v>20</v>
      </c>
      <c r="E16" s="377">
        <f t="shared" si="1"/>
        <v>5</v>
      </c>
      <c r="F16" s="378">
        <f t="shared" si="2"/>
        <v>33.299999999999997</v>
      </c>
      <c r="G16" s="377">
        <f t="shared" si="3"/>
        <v>2</v>
      </c>
      <c r="H16" s="378">
        <f t="shared" si="4"/>
        <v>11.1</v>
      </c>
      <c r="I16" s="327"/>
    </row>
    <row r="17" spans="1:11" ht="22.5" customHeight="1">
      <c r="A17" s="366" t="str">
        <f>'6.1. Інша інфо_1'!A43</f>
        <v>Інші види діяльності</v>
      </c>
      <c r="B17" s="371">
        <f>'6.1. Інша інфо_1'!D43</f>
        <v>45</v>
      </c>
      <c r="C17" s="380">
        <v>0</v>
      </c>
      <c r="D17" s="380">
        <f>'6.1. Інша інфо_1'!M43</f>
        <v>0</v>
      </c>
      <c r="E17" s="377">
        <f t="shared" si="1"/>
        <v>-45</v>
      </c>
      <c r="F17" s="378">
        <f t="shared" si="2"/>
        <v>-100</v>
      </c>
      <c r="G17" s="377">
        <f t="shared" si="3"/>
        <v>0</v>
      </c>
      <c r="H17" s="378" t="e">
        <f t="shared" si="4"/>
        <v>#DIV/0!</v>
      </c>
      <c r="I17" s="327"/>
    </row>
    <row r="18" spans="1:11" ht="23.25" customHeight="1">
      <c r="A18" s="367" t="s">
        <v>599</v>
      </c>
      <c r="B18" s="374">
        <f>SUM(B8:B17)</f>
        <v>149171</v>
      </c>
      <c r="C18" s="374">
        <f t="shared" ref="C18:D18" si="5">SUM(C8:C17)</f>
        <v>152130</v>
      </c>
      <c r="D18" s="374">
        <f t="shared" si="5"/>
        <v>155328</v>
      </c>
      <c r="E18" s="375">
        <f>D18-B18</f>
        <v>6157</v>
      </c>
      <c r="F18" s="376">
        <f>E18/B18*100</f>
        <v>4.0999999999999996</v>
      </c>
      <c r="G18" s="375">
        <f>D18-C18</f>
        <v>3198</v>
      </c>
      <c r="H18" s="376">
        <f>G18/C18*100</f>
        <v>2.1</v>
      </c>
      <c r="I18" s="327"/>
      <c r="J18" s="327"/>
    </row>
    <row r="19" spans="1:11" ht="23.25" customHeight="1">
      <c r="A19" s="366" t="s">
        <v>711</v>
      </c>
      <c r="B19" s="371">
        <f>'Розшифровка до Формування'!C55</f>
        <v>0</v>
      </c>
      <c r="C19" s="371">
        <f>'Розшифровка до Формування'!D55</f>
        <v>0</v>
      </c>
      <c r="D19" s="371">
        <f>'Розшифровка до Формування'!E55</f>
        <v>0</v>
      </c>
      <c r="E19" s="377">
        <f t="shared" ref="E19" si="6">D19-B19</f>
        <v>0</v>
      </c>
      <c r="F19" s="378" t="e">
        <f t="shared" ref="F19" si="7">E19/B19*100</f>
        <v>#DIV/0!</v>
      </c>
      <c r="G19" s="377">
        <f t="shared" ref="G19" si="8">D19-C19</f>
        <v>0</v>
      </c>
      <c r="H19" s="378" t="e">
        <f t="shared" ref="H19" si="9">G19/C19*100</f>
        <v>#DIV/0!</v>
      </c>
    </row>
    <row r="20" spans="1:11" ht="33.75" hidden="1" customHeight="1">
      <c r="A20" s="368" t="s">
        <v>600</v>
      </c>
      <c r="B20" s="371"/>
      <c r="C20" s="380">
        <v>0</v>
      </c>
      <c r="D20" s="380"/>
      <c r="E20" s="377">
        <f t="shared" ref="E20:E25" si="10">D20-B20</f>
        <v>0</v>
      </c>
      <c r="F20" s="378" t="e">
        <f t="shared" ref="F20:F25" si="11">E20/B20*100</f>
        <v>#DIV/0!</v>
      </c>
      <c r="G20" s="377">
        <f t="shared" ref="G20:G25" si="12">D20-C20</f>
        <v>0</v>
      </c>
      <c r="H20" s="378" t="e">
        <f t="shared" ref="H20:H25" si="13">G20/C20*100</f>
        <v>#DIV/0!</v>
      </c>
    </row>
    <row r="21" spans="1:11" ht="20.25" customHeight="1">
      <c r="A21" s="366" t="s">
        <v>601</v>
      </c>
      <c r="B21" s="371">
        <f>'Розшифровка до Формування'!C54</f>
        <v>13</v>
      </c>
      <c r="C21" s="371">
        <f>'Розшифровка до Формування'!D54</f>
        <v>0</v>
      </c>
      <c r="D21" s="371">
        <f>'Розшифровка до Формування'!E54</f>
        <v>0</v>
      </c>
      <c r="E21" s="377">
        <f t="shared" si="10"/>
        <v>-13</v>
      </c>
      <c r="F21" s="378">
        <f t="shared" si="11"/>
        <v>-100</v>
      </c>
      <c r="G21" s="377">
        <f t="shared" si="12"/>
        <v>0</v>
      </c>
      <c r="H21" s="378" t="e">
        <f t="shared" si="13"/>
        <v>#DIV/0!</v>
      </c>
    </row>
    <row r="22" spans="1:11" ht="48" customHeight="1">
      <c r="A22" s="366" t="s">
        <v>602</v>
      </c>
      <c r="B22" s="371">
        <f>'Розшифровка до Формування'!C52</f>
        <v>814</v>
      </c>
      <c r="C22" s="371">
        <f>'Розшифровка до Формування'!E52</f>
        <v>1043</v>
      </c>
      <c r="D22" s="371">
        <f>'Розшифровка до Формування'!F52</f>
        <v>0</v>
      </c>
      <c r="E22" s="377">
        <f t="shared" si="10"/>
        <v>-814</v>
      </c>
      <c r="F22" s="378">
        <f t="shared" si="11"/>
        <v>-100</v>
      </c>
      <c r="G22" s="377">
        <f t="shared" si="12"/>
        <v>-1043</v>
      </c>
      <c r="H22" s="378">
        <f t="shared" si="13"/>
        <v>-100</v>
      </c>
    </row>
    <row r="23" spans="1:11" ht="34.5" customHeight="1">
      <c r="A23" s="366" t="s">
        <v>603</v>
      </c>
      <c r="B23" s="371">
        <f>'Розшифровка до Формування'!C71</f>
        <v>528</v>
      </c>
      <c r="C23" s="371">
        <f>'Розшифровка до Формування'!D71</f>
        <v>528</v>
      </c>
      <c r="D23" s="371">
        <f>'Розшифровка до Формування'!E71</f>
        <v>528</v>
      </c>
      <c r="E23" s="377">
        <f t="shared" si="10"/>
        <v>0</v>
      </c>
      <c r="F23" s="378">
        <f t="shared" si="11"/>
        <v>0</v>
      </c>
      <c r="G23" s="377">
        <f t="shared" si="12"/>
        <v>0</v>
      </c>
      <c r="H23" s="378">
        <f t="shared" si="13"/>
        <v>0</v>
      </c>
    </row>
    <row r="24" spans="1:11" ht="35.25" customHeight="1">
      <c r="A24" s="366" t="s">
        <v>604</v>
      </c>
      <c r="B24" s="371">
        <f>'Розшифровка до Формування'!C72</f>
        <v>10</v>
      </c>
      <c r="C24" s="371">
        <f>'Розшифровка до Формування'!D72</f>
        <v>12</v>
      </c>
      <c r="D24" s="371">
        <f>'Розшифровка до Формування'!E72</f>
        <v>12</v>
      </c>
      <c r="E24" s="377">
        <f t="shared" si="10"/>
        <v>2</v>
      </c>
      <c r="F24" s="378">
        <f t="shared" si="11"/>
        <v>20</v>
      </c>
      <c r="G24" s="377">
        <f t="shared" si="12"/>
        <v>0</v>
      </c>
      <c r="H24" s="378">
        <f t="shared" si="13"/>
        <v>0</v>
      </c>
    </row>
    <row r="25" spans="1:11" ht="21.75" customHeight="1">
      <c r="A25" s="366" t="s">
        <v>605</v>
      </c>
      <c r="B25" s="371">
        <f>'Розшифровка до Формування'!C74</f>
        <v>0</v>
      </c>
      <c r="C25" s="371">
        <f>'Розшифровка до Формування'!D74</f>
        <v>0</v>
      </c>
      <c r="D25" s="371">
        <f>'Розшифровка до Формування'!E74</f>
        <v>0</v>
      </c>
      <c r="E25" s="377">
        <f t="shared" si="10"/>
        <v>0</v>
      </c>
      <c r="F25" s="378" t="e">
        <f t="shared" si="11"/>
        <v>#DIV/0!</v>
      </c>
      <c r="G25" s="377">
        <f t="shared" si="12"/>
        <v>0</v>
      </c>
      <c r="H25" s="378" t="e">
        <f t="shared" si="13"/>
        <v>#DIV/0!</v>
      </c>
    </row>
    <row r="26" spans="1:11" ht="36" customHeight="1">
      <c r="A26" s="743" t="s">
        <v>606</v>
      </c>
      <c r="B26" s="743"/>
      <c r="C26" s="743"/>
      <c r="D26" s="743"/>
      <c r="E26" s="743"/>
      <c r="F26" s="743"/>
      <c r="G26" s="743"/>
      <c r="H26" s="743"/>
    </row>
    <row r="27" spans="1:11" ht="18" customHeight="1">
      <c r="A27" s="746" t="s">
        <v>628</v>
      </c>
      <c r="B27" s="746"/>
      <c r="C27" s="746"/>
      <c r="D27" s="746"/>
      <c r="E27" s="746"/>
      <c r="F27" s="746"/>
      <c r="G27" s="746"/>
      <c r="H27" s="746"/>
    </row>
    <row r="28" spans="1:11">
      <c r="A28" s="744" t="s">
        <v>395</v>
      </c>
      <c r="B28" s="744"/>
      <c r="C28" s="744"/>
      <c r="D28" s="744"/>
      <c r="E28" s="744"/>
      <c r="F28" s="744"/>
      <c r="G28" s="744"/>
      <c r="H28" s="744"/>
    </row>
    <row r="29" spans="1:11" ht="15.75" customHeight="1">
      <c r="A29" s="741" t="s">
        <v>594</v>
      </c>
      <c r="B29" s="741" t="s">
        <v>671</v>
      </c>
      <c r="C29" s="741" t="s">
        <v>672</v>
      </c>
      <c r="D29" s="741" t="s">
        <v>673</v>
      </c>
      <c r="E29" s="741" t="s">
        <v>595</v>
      </c>
      <c r="F29" s="741"/>
      <c r="G29" s="741"/>
      <c r="H29" s="741"/>
    </row>
    <row r="30" spans="1:11" ht="48.75" customHeight="1">
      <c r="A30" s="741"/>
      <c r="B30" s="741"/>
      <c r="C30" s="741"/>
      <c r="D30" s="741"/>
      <c r="E30" s="742" t="s">
        <v>712</v>
      </c>
      <c r="F30" s="742"/>
      <c r="G30" s="742" t="s">
        <v>713</v>
      </c>
      <c r="H30" s="742"/>
    </row>
    <row r="31" spans="1:11">
      <c r="A31" s="741"/>
      <c r="B31" s="741"/>
      <c r="C31" s="741"/>
      <c r="D31" s="741"/>
      <c r="E31" s="352" t="s">
        <v>596</v>
      </c>
      <c r="F31" s="352" t="s">
        <v>597</v>
      </c>
      <c r="G31" s="352" t="s">
        <v>596</v>
      </c>
      <c r="H31" s="352" t="s">
        <v>597</v>
      </c>
    </row>
    <row r="32" spans="1:11" s="382" customFormat="1" ht="32.25" customHeight="1">
      <c r="A32" s="381" t="s">
        <v>607</v>
      </c>
      <c r="B32" s="385">
        <f>SUM(B33:B38)</f>
        <v>143655</v>
      </c>
      <c r="C32" s="385">
        <f t="shared" ref="C32:D32" si="14">SUM(C33:C38)</f>
        <v>147951</v>
      </c>
      <c r="D32" s="385">
        <f t="shared" si="14"/>
        <v>155418</v>
      </c>
      <c r="E32" s="369">
        <f t="shared" ref="E32" si="15">D32-B32</f>
        <v>11763</v>
      </c>
      <c r="F32" s="370">
        <f t="shared" ref="F32" si="16">E32/B32*100</f>
        <v>8.1999999999999993</v>
      </c>
      <c r="G32" s="369">
        <f t="shared" ref="G32" si="17">D32-C32</f>
        <v>7467</v>
      </c>
      <c r="H32" s="370">
        <f t="shared" ref="H32" si="18">G32/C32*100</f>
        <v>5</v>
      </c>
      <c r="K32" s="383"/>
    </row>
    <row r="33" spans="1:8" s="382" customFormat="1" ht="35.25" customHeight="1">
      <c r="A33" s="384" t="s">
        <v>118</v>
      </c>
      <c r="B33" s="386">
        <f>-'I. Фін результат'!C9</f>
        <v>126221</v>
      </c>
      <c r="C33" s="386">
        <f>-'I. Фін результат'!E9</f>
        <v>130061</v>
      </c>
      <c r="D33" s="386">
        <f>-'I. Фін результат'!F9</f>
        <v>137853</v>
      </c>
      <c r="E33" s="372">
        <f t="shared" ref="E33:E38" si="19">D33-B33</f>
        <v>11632</v>
      </c>
      <c r="F33" s="373">
        <f t="shared" ref="F33:F38" si="20">E33/B33*100</f>
        <v>9.1999999999999993</v>
      </c>
      <c r="G33" s="372">
        <f t="shared" ref="G33:G38" si="21">D33-C33</f>
        <v>7792</v>
      </c>
      <c r="H33" s="373">
        <f t="shared" ref="H33:H38" si="22">G33/C33*100</f>
        <v>6</v>
      </c>
    </row>
    <row r="34" spans="1:8" s="382" customFormat="1" ht="20.25" customHeight="1">
      <c r="A34" s="384" t="s">
        <v>103</v>
      </c>
      <c r="B34" s="386">
        <f>-'I. Фін результат'!C19</f>
        <v>14652</v>
      </c>
      <c r="C34" s="386">
        <f>-'I. Фін результат'!E19</f>
        <v>16074</v>
      </c>
      <c r="D34" s="386">
        <f>-'I. Фін результат'!F19</f>
        <v>17105</v>
      </c>
      <c r="E34" s="372">
        <f t="shared" si="19"/>
        <v>2453</v>
      </c>
      <c r="F34" s="373">
        <f t="shared" si="20"/>
        <v>16.7</v>
      </c>
      <c r="G34" s="372">
        <f t="shared" si="21"/>
        <v>1031</v>
      </c>
      <c r="H34" s="373">
        <f t="shared" si="22"/>
        <v>6.4</v>
      </c>
    </row>
    <row r="35" spans="1:8" s="382" customFormat="1" ht="20.25" customHeight="1">
      <c r="A35" s="384" t="s">
        <v>26</v>
      </c>
      <c r="B35" s="386">
        <f>-'I. Фін результат'!C52</f>
        <v>125</v>
      </c>
      <c r="C35" s="386">
        <f>-'I. Фін результат'!E52</f>
        <v>36</v>
      </c>
      <c r="D35" s="386">
        <f>-'I. Фін результат'!F52</f>
        <v>0</v>
      </c>
      <c r="E35" s="372">
        <f t="shared" si="19"/>
        <v>-125</v>
      </c>
      <c r="F35" s="373">
        <f t="shared" si="20"/>
        <v>-100</v>
      </c>
      <c r="G35" s="372">
        <f t="shared" si="21"/>
        <v>-36</v>
      </c>
      <c r="H35" s="373">
        <f t="shared" si="22"/>
        <v>-100</v>
      </c>
    </row>
    <row r="36" spans="1:8" s="382" customFormat="1" ht="21" customHeight="1">
      <c r="A36" s="384" t="s">
        <v>200</v>
      </c>
      <c r="B36" s="386">
        <f>-'I. Фін результат'!C63</f>
        <v>749</v>
      </c>
      <c r="C36" s="386">
        <f>-'I. Фін результат'!E63</f>
        <v>467</v>
      </c>
      <c r="D36" s="386">
        <f>-'I. Фін результат'!F63</f>
        <v>309</v>
      </c>
      <c r="E36" s="372">
        <f t="shared" si="19"/>
        <v>-440</v>
      </c>
      <c r="F36" s="373">
        <f t="shared" si="20"/>
        <v>-58.7</v>
      </c>
      <c r="G36" s="372">
        <f t="shared" si="21"/>
        <v>-158</v>
      </c>
      <c r="H36" s="373">
        <f t="shared" si="22"/>
        <v>-33.799999999999997</v>
      </c>
    </row>
    <row r="37" spans="1:8" s="382" customFormat="1" ht="21" customHeight="1">
      <c r="A37" s="384" t="s">
        <v>203</v>
      </c>
      <c r="B37" s="386">
        <f>-'I. Фін результат'!C67</f>
        <v>392</v>
      </c>
      <c r="C37" s="386">
        <f>-'I. Фін результат'!E67</f>
        <v>48</v>
      </c>
      <c r="D37" s="386">
        <f>-'I. Фін результат'!F67</f>
        <v>52</v>
      </c>
      <c r="E37" s="372">
        <f t="shared" si="19"/>
        <v>-340</v>
      </c>
      <c r="F37" s="373">
        <f t="shared" si="20"/>
        <v>-86.7</v>
      </c>
      <c r="G37" s="372">
        <f t="shared" si="21"/>
        <v>4</v>
      </c>
      <c r="H37" s="373">
        <f t="shared" si="22"/>
        <v>8.3000000000000007</v>
      </c>
    </row>
    <row r="38" spans="1:8" s="382" customFormat="1" ht="23.25" customHeight="1">
      <c r="A38" s="384" t="s">
        <v>204</v>
      </c>
      <c r="B38" s="387">
        <f>-'I. Фін результат'!C71</f>
        <v>1516</v>
      </c>
      <c r="C38" s="386">
        <f>-'I. Фін результат'!E71</f>
        <v>1265</v>
      </c>
      <c r="D38" s="386">
        <f>-'I. Фін результат'!F71</f>
        <v>99</v>
      </c>
      <c r="E38" s="372">
        <f t="shared" si="19"/>
        <v>-1417</v>
      </c>
      <c r="F38" s="373">
        <f t="shared" si="20"/>
        <v>-93.5</v>
      </c>
      <c r="G38" s="372">
        <f t="shared" si="21"/>
        <v>-1166</v>
      </c>
      <c r="H38" s="373">
        <f t="shared" si="22"/>
        <v>-92.2</v>
      </c>
    </row>
    <row r="39" spans="1:8" ht="20.25" customHeight="1">
      <c r="A39" s="743" t="s">
        <v>608</v>
      </c>
      <c r="B39" s="743"/>
      <c r="C39" s="743"/>
      <c r="D39" s="743"/>
      <c r="E39" s="743"/>
      <c r="F39" s="743"/>
      <c r="G39" s="743"/>
      <c r="H39" s="743"/>
    </row>
    <row r="40" spans="1:8" ht="36" customHeight="1">
      <c r="A40" s="745" t="s">
        <v>626</v>
      </c>
      <c r="B40" s="745"/>
      <c r="C40" s="745"/>
      <c r="D40" s="745"/>
      <c r="E40" s="745"/>
      <c r="F40" s="745"/>
      <c r="G40" s="745"/>
      <c r="H40" s="745"/>
    </row>
    <row r="41" spans="1:8">
      <c r="A41" s="744" t="s">
        <v>395</v>
      </c>
      <c r="B41" s="744"/>
      <c r="C41" s="744"/>
      <c r="D41" s="744"/>
      <c r="E41" s="744"/>
      <c r="F41" s="744"/>
      <c r="G41" s="744"/>
      <c r="H41" s="744"/>
    </row>
    <row r="42" spans="1:8" ht="15.75" customHeight="1">
      <c r="A42" s="741" t="s">
        <v>594</v>
      </c>
      <c r="B42" s="741" t="s">
        <v>671</v>
      </c>
      <c r="C42" s="741" t="s">
        <v>672</v>
      </c>
      <c r="D42" s="741" t="s">
        <v>673</v>
      </c>
      <c r="E42" s="741" t="s">
        <v>595</v>
      </c>
      <c r="F42" s="741"/>
      <c r="G42" s="741"/>
      <c r="H42" s="741"/>
    </row>
    <row r="43" spans="1:8" ht="48.75" customHeight="1">
      <c r="A43" s="741"/>
      <c r="B43" s="741"/>
      <c r="C43" s="741"/>
      <c r="D43" s="741"/>
      <c r="E43" s="742" t="s">
        <v>712</v>
      </c>
      <c r="F43" s="742"/>
      <c r="G43" s="742" t="s">
        <v>713</v>
      </c>
      <c r="H43" s="742"/>
    </row>
    <row r="44" spans="1:8">
      <c r="A44" s="741"/>
      <c r="B44" s="741"/>
      <c r="C44" s="741"/>
      <c r="D44" s="741"/>
      <c r="E44" s="364" t="s">
        <v>596</v>
      </c>
      <c r="F44" s="364" t="s">
        <v>597</v>
      </c>
      <c r="G44" s="364" t="s">
        <v>596</v>
      </c>
      <c r="H44" s="364" t="s">
        <v>597</v>
      </c>
    </row>
    <row r="45" spans="1:8" s="382" customFormat="1" ht="32.25" customHeight="1">
      <c r="A45" s="381" t="s">
        <v>609</v>
      </c>
      <c r="B45" s="388">
        <f>SUM(B46:B48)</f>
        <v>207</v>
      </c>
      <c r="C45" s="388">
        <f t="shared" ref="C45:D45" si="23">SUM(C46:C48)</f>
        <v>209</v>
      </c>
      <c r="D45" s="388">
        <f t="shared" si="23"/>
        <v>209</v>
      </c>
      <c r="E45" s="369">
        <f t="shared" ref="E45" si="24">D45-B45</f>
        <v>2</v>
      </c>
      <c r="F45" s="370">
        <f t="shared" ref="F45" si="25">E45/B45*100</f>
        <v>1</v>
      </c>
      <c r="G45" s="369">
        <f t="shared" ref="G45" si="26">D45-C45</f>
        <v>0</v>
      </c>
      <c r="H45" s="370">
        <f t="shared" ref="H45" si="27">G45/C45*100</f>
        <v>0</v>
      </c>
    </row>
    <row r="46" spans="1:8" s="382" customFormat="1" ht="21.75" customHeight="1">
      <c r="A46" s="384" t="str">
        <f>'6.1. Інша інфо_1'!A11:C11</f>
        <v>директор</v>
      </c>
      <c r="B46" s="389">
        <f>'6.1. Інша інфо_1'!D11</f>
        <v>1</v>
      </c>
      <c r="C46" s="389">
        <f>'6.1. Інша інфо_1'!H11</f>
        <v>1</v>
      </c>
      <c r="D46" s="389">
        <f>'6.1. Інша інфо_1'!J11</f>
        <v>1</v>
      </c>
      <c r="E46" s="372">
        <f t="shared" ref="E46:E49" si="28">D46-B46</f>
        <v>0</v>
      </c>
      <c r="F46" s="373">
        <f t="shared" ref="F46:F49" si="29">E46/B46*100</f>
        <v>0</v>
      </c>
      <c r="G46" s="372">
        <f t="shared" ref="G46:G49" si="30">D46-C46</f>
        <v>0</v>
      </c>
      <c r="H46" s="373">
        <f t="shared" ref="H46:H49" si="31">G46/C46*100</f>
        <v>0</v>
      </c>
    </row>
    <row r="47" spans="1:8" s="382" customFormat="1" ht="31.5" customHeight="1">
      <c r="A47" s="384" t="str">
        <f>'6.1. Інша інфо_1'!A12:C12</f>
        <v>адміністративно-управлінський персонал</v>
      </c>
      <c r="B47" s="389">
        <f>'6.1. Інша інфо_1'!D12</f>
        <v>40</v>
      </c>
      <c r="C47" s="389">
        <f>'6.1. Інша інфо_1'!H12</f>
        <v>40</v>
      </c>
      <c r="D47" s="389">
        <f>'6.1. Інша інфо_1'!J12</f>
        <v>40</v>
      </c>
      <c r="E47" s="372">
        <f t="shared" si="28"/>
        <v>0</v>
      </c>
      <c r="F47" s="373">
        <f t="shared" si="29"/>
        <v>0</v>
      </c>
      <c r="G47" s="372">
        <f t="shared" si="30"/>
        <v>0</v>
      </c>
      <c r="H47" s="373">
        <f t="shared" si="31"/>
        <v>0</v>
      </c>
    </row>
    <row r="48" spans="1:8" s="382" customFormat="1" ht="24" customHeight="1">
      <c r="A48" s="384" t="str">
        <f>'6.1. Інша інфо_1'!A13:C13</f>
        <v>працівники</v>
      </c>
      <c r="B48" s="389">
        <f>'6.1. Інша інфо_1'!D13</f>
        <v>166</v>
      </c>
      <c r="C48" s="389">
        <f>'6.1. Інша інфо_1'!H13</f>
        <v>168</v>
      </c>
      <c r="D48" s="389">
        <f>'6.1. Інша інфо_1'!J13</f>
        <v>168</v>
      </c>
      <c r="E48" s="372">
        <f t="shared" si="28"/>
        <v>2</v>
      </c>
      <c r="F48" s="373">
        <f t="shared" si="29"/>
        <v>1.2</v>
      </c>
      <c r="G48" s="372">
        <f t="shared" si="30"/>
        <v>0</v>
      </c>
      <c r="H48" s="373">
        <f t="shared" si="31"/>
        <v>0</v>
      </c>
    </row>
    <row r="49" spans="1:8" s="382" customFormat="1" ht="30.75" customHeight="1">
      <c r="A49" s="381" t="str">
        <f>'6.1. Інша інфо_1'!A18:C18</f>
        <v>Витрати на оплату праці, тис. грн, у тому числі:</v>
      </c>
      <c r="B49" s="388">
        <f>SUM(B50:B52)</f>
        <v>48080</v>
      </c>
      <c r="C49" s="388">
        <f t="shared" ref="C49:D49" si="32">SUM(C50:C52)</f>
        <v>53540</v>
      </c>
      <c r="D49" s="388">
        <f t="shared" si="32"/>
        <v>58564</v>
      </c>
      <c r="E49" s="369">
        <f t="shared" si="28"/>
        <v>10484</v>
      </c>
      <c r="F49" s="370">
        <f t="shared" si="29"/>
        <v>21.8</v>
      </c>
      <c r="G49" s="369">
        <f t="shared" si="30"/>
        <v>5024</v>
      </c>
      <c r="H49" s="370">
        <f t="shared" si="31"/>
        <v>9.4</v>
      </c>
    </row>
    <row r="50" spans="1:8" s="382" customFormat="1" ht="21.75" customHeight="1">
      <c r="A50" s="384" t="str">
        <f>'6.1. Інша інфо_1'!A19:C19</f>
        <v>директор</v>
      </c>
      <c r="B50" s="389">
        <f>'6.1. Інша інфо_1'!D19</f>
        <v>442</v>
      </c>
      <c r="C50" s="389">
        <f>'6.1. Інша інфо_1'!H19</f>
        <v>498</v>
      </c>
      <c r="D50" s="389">
        <f>'6.1. Інша інфо_1'!J19</f>
        <v>547</v>
      </c>
      <c r="E50" s="372">
        <f t="shared" ref="E50:E56" si="33">D50-B50</f>
        <v>105</v>
      </c>
      <c r="F50" s="373">
        <f t="shared" ref="F50:F56" si="34">E50/B50*100</f>
        <v>23.8</v>
      </c>
      <c r="G50" s="372">
        <f t="shared" ref="G50:G56" si="35">D50-C50</f>
        <v>49</v>
      </c>
      <c r="H50" s="373">
        <f t="shared" ref="H50:H56" si="36">G50/C50*100</f>
        <v>9.8000000000000007</v>
      </c>
    </row>
    <row r="51" spans="1:8" s="382" customFormat="1" ht="30.75" customHeight="1">
      <c r="A51" s="384" t="str">
        <f>'6.1. Інша інфо_1'!A20:C20</f>
        <v>адміністративно-управлінський персонал</v>
      </c>
      <c r="B51" s="389">
        <f>'6.1. Інша інфо_1'!D20</f>
        <v>13496</v>
      </c>
      <c r="C51" s="389">
        <f>'6.1. Інша інфо_1'!H20</f>
        <v>15275</v>
      </c>
      <c r="D51" s="389">
        <f>'6.1. Інша інфо_1'!J20</f>
        <v>16785</v>
      </c>
      <c r="E51" s="372">
        <f t="shared" si="33"/>
        <v>3289</v>
      </c>
      <c r="F51" s="373">
        <f t="shared" si="34"/>
        <v>24.4</v>
      </c>
      <c r="G51" s="372">
        <f t="shared" si="35"/>
        <v>1510</v>
      </c>
      <c r="H51" s="373">
        <f t="shared" si="36"/>
        <v>9.9</v>
      </c>
    </row>
    <row r="52" spans="1:8" s="382" customFormat="1" ht="23.25" customHeight="1">
      <c r="A52" s="384" t="str">
        <f>'6.1. Інша інфо_1'!A21:C21</f>
        <v>працівники</v>
      </c>
      <c r="B52" s="389">
        <f>'6.1. Інша інфо_1'!D21</f>
        <v>34142</v>
      </c>
      <c r="C52" s="389">
        <f>'6.1. Інша інфо_1'!H21</f>
        <v>37767</v>
      </c>
      <c r="D52" s="389">
        <f>'6.1. Інша інфо_1'!J21</f>
        <v>41232</v>
      </c>
      <c r="E52" s="372">
        <f t="shared" si="33"/>
        <v>7090</v>
      </c>
      <c r="F52" s="373">
        <f t="shared" si="34"/>
        <v>20.8</v>
      </c>
      <c r="G52" s="372">
        <f t="shared" si="35"/>
        <v>3465</v>
      </c>
      <c r="H52" s="373">
        <f t="shared" si="36"/>
        <v>9.1999999999999993</v>
      </c>
    </row>
    <row r="53" spans="1:8" s="382" customFormat="1" ht="48" customHeight="1">
      <c r="A53" s="381" t="str">
        <f>'6.1. Інша інфо_1'!A22:C22</f>
        <v>Середньомісячні витрати на оплату праці одного працівника (грн), усього, у тому числі:</v>
      </c>
      <c r="B53" s="388">
        <f>'6.1. Інша інфо_1'!D22</f>
        <v>19356</v>
      </c>
      <c r="C53" s="388">
        <f>'6.1. Інша інфо_1'!H22</f>
        <v>21348</v>
      </c>
      <c r="D53" s="388">
        <f>'6.1. Інша інфо_1'!J22</f>
        <v>23351</v>
      </c>
      <c r="E53" s="369">
        <f t="shared" si="33"/>
        <v>3995</v>
      </c>
      <c r="F53" s="370">
        <f t="shared" si="34"/>
        <v>20.6</v>
      </c>
      <c r="G53" s="369">
        <f t="shared" si="35"/>
        <v>2003</v>
      </c>
      <c r="H53" s="370">
        <f t="shared" si="36"/>
        <v>9.4</v>
      </c>
    </row>
    <row r="54" spans="1:8" s="382" customFormat="1" ht="21.75" customHeight="1">
      <c r="A54" s="384" t="str">
        <f>'6.1. Інша інфо_1'!A23:C23</f>
        <v>директор</v>
      </c>
      <c r="B54" s="389">
        <f>'6.1. Інша інфо_1'!D23</f>
        <v>36833</v>
      </c>
      <c r="C54" s="389">
        <f>'6.1. Інша інфо_1'!H23</f>
        <v>41500</v>
      </c>
      <c r="D54" s="389">
        <f>'6.1. Інша інфо_1'!J23</f>
        <v>45583</v>
      </c>
      <c r="E54" s="372">
        <f t="shared" si="33"/>
        <v>8750</v>
      </c>
      <c r="F54" s="373">
        <f t="shared" si="34"/>
        <v>23.8</v>
      </c>
      <c r="G54" s="372">
        <f t="shared" si="35"/>
        <v>4083</v>
      </c>
      <c r="H54" s="373">
        <f t="shared" si="36"/>
        <v>9.8000000000000007</v>
      </c>
    </row>
    <row r="55" spans="1:8" s="382" customFormat="1" ht="30.75" customHeight="1">
      <c r="A55" s="384" t="str">
        <f>'6.1. Інша інфо_1'!A24:C24</f>
        <v>адміністративно-управлінський персонал</v>
      </c>
      <c r="B55" s="389">
        <f>'6.1. Інша інфо_1'!D24</f>
        <v>28117</v>
      </c>
      <c r="C55" s="389">
        <f>'6.1. Інша інфо_1'!H24</f>
        <v>31823</v>
      </c>
      <c r="D55" s="389">
        <f>'6.1. Інша інфо_1'!J24</f>
        <v>34969</v>
      </c>
      <c r="E55" s="372">
        <f t="shared" si="33"/>
        <v>6852</v>
      </c>
      <c r="F55" s="373">
        <f t="shared" si="34"/>
        <v>24.4</v>
      </c>
      <c r="G55" s="372">
        <f t="shared" si="35"/>
        <v>3146</v>
      </c>
      <c r="H55" s="373">
        <f t="shared" si="36"/>
        <v>9.9</v>
      </c>
    </row>
    <row r="56" spans="1:8" s="382" customFormat="1" ht="24" customHeight="1">
      <c r="A56" s="384" t="str">
        <f>'6.1. Інша інфо_1'!A25:C25</f>
        <v>працівники</v>
      </c>
      <c r="B56" s="389">
        <f>'6.1. Інша інфо_1'!D25</f>
        <v>17140</v>
      </c>
      <c r="C56" s="389">
        <f>'6.1. Інша інфо_1'!H25</f>
        <v>18734</v>
      </c>
      <c r="D56" s="389">
        <f>'6.1. Інша інфо_1'!J25</f>
        <v>20452</v>
      </c>
      <c r="E56" s="372">
        <f t="shared" si="33"/>
        <v>3312</v>
      </c>
      <c r="F56" s="373">
        <f t="shared" si="34"/>
        <v>19.3</v>
      </c>
      <c r="G56" s="372">
        <f t="shared" si="35"/>
        <v>1718</v>
      </c>
      <c r="H56" s="373">
        <f t="shared" si="36"/>
        <v>9.1999999999999993</v>
      </c>
    </row>
    <row r="57" spans="1:8" ht="27" customHeight="1">
      <c r="A57" s="743" t="s">
        <v>610</v>
      </c>
      <c r="B57" s="743"/>
      <c r="C57" s="743"/>
      <c r="D57" s="743"/>
      <c r="E57" s="743"/>
      <c r="F57" s="743"/>
      <c r="G57" s="743"/>
      <c r="H57" s="743"/>
    </row>
    <row r="58" spans="1:8" ht="15" customHeight="1">
      <c r="A58" s="328" t="s">
        <v>611</v>
      </c>
      <c r="B58" s="331"/>
      <c r="C58" s="332"/>
      <c r="D58" s="332"/>
      <c r="E58" s="332"/>
      <c r="F58" s="332"/>
      <c r="G58" s="332"/>
      <c r="H58" s="332"/>
    </row>
    <row r="59" spans="1:8" ht="15.75" customHeight="1">
      <c r="A59" s="744" t="s">
        <v>395</v>
      </c>
      <c r="B59" s="744"/>
      <c r="C59" s="744"/>
      <c r="D59" s="744"/>
      <c r="E59" s="744"/>
      <c r="F59" s="744"/>
      <c r="G59" s="744"/>
      <c r="H59" s="744"/>
    </row>
    <row r="60" spans="1:8" ht="21" customHeight="1">
      <c r="A60" s="741" t="s">
        <v>594</v>
      </c>
      <c r="B60" s="741" t="s">
        <v>671</v>
      </c>
      <c r="C60" s="741" t="s">
        <v>672</v>
      </c>
      <c r="D60" s="741" t="s">
        <v>673</v>
      </c>
      <c r="E60" s="741" t="s">
        <v>595</v>
      </c>
      <c r="F60" s="741"/>
      <c r="G60" s="741"/>
      <c r="H60" s="741"/>
    </row>
    <row r="61" spans="1:8" ht="38.25" customHeight="1">
      <c r="A61" s="741"/>
      <c r="B61" s="741"/>
      <c r="C61" s="741"/>
      <c r="D61" s="741"/>
      <c r="E61" s="742" t="s">
        <v>712</v>
      </c>
      <c r="F61" s="742"/>
      <c r="G61" s="742" t="s">
        <v>713</v>
      </c>
      <c r="H61" s="742"/>
    </row>
    <row r="62" spans="1:8" ht="16.5" customHeight="1">
      <c r="A62" s="741"/>
      <c r="B62" s="741"/>
      <c r="C62" s="741"/>
      <c r="D62" s="741"/>
      <c r="E62" s="352" t="s">
        <v>596</v>
      </c>
      <c r="F62" s="352" t="s">
        <v>597</v>
      </c>
      <c r="G62" s="352" t="s">
        <v>596</v>
      </c>
      <c r="H62" s="352" t="s">
        <v>597</v>
      </c>
    </row>
    <row r="63" spans="1:8" s="382" customFormat="1" ht="16.5" customHeight="1">
      <c r="A63" s="381" t="s">
        <v>612</v>
      </c>
      <c r="B63" s="388">
        <f>'I. Фін результат'!C18</f>
        <v>22950</v>
      </c>
      <c r="C63" s="388">
        <f>'I. Фін результат'!E18</f>
        <v>22069</v>
      </c>
      <c r="D63" s="388">
        <f>'I. Фін результат'!F18</f>
        <v>17475</v>
      </c>
      <c r="E63" s="369">
        <f t="shared" ref="E63" si="37">D63-B63</f>
        <v>-5475</v>
      </c>
      <c r="F63" s="370">
        <f t="shared" ref="F63" si="38">E63/B63*100</f>
        <v>-23.9</v>
      </c>
      <c r="G63" s="369">
        <f t="shared" ref="G63" si="39">D63-C63</f>
        <v>-4594</v>
      </c>
      <c r="H63" s="370">
        <f t="shared" ref="H63" si="40">G63/C63*100</f>
        <v>-20.8</v>
      </c>
    </row>
    <row r="64" spans="1:8" s="382" customFormat="1" ht="31.2">
      <c r="A64" s="384" t="s">
        <v>4</v>
      </c>
      <c r="B64" s="389">
        <f>'I. Фін результат'!C59</f>
        <v>9000</v>
      </c>
      <c r="C64" s="389">
        <f>'I. Фін результат'!E59</f>
        <v>7002</v>
      </c>
      <c r="D64" s="389">
        <f>'I. Фін результат'!F59</f>
        <v>370</v>
      </c>
      <c r="E64" s="372">
        <f t="shared" ref="E64:E66" si="41">D64-B64</f>
        <v>-8630</v>
      </c>
      <c r="F64" s="373">
        <f t="shared" ref="F64:F66" si="42">E64/B64*100</f>
        <v>-95.9</v>
      </c>
      <c r="G64" s="372">
        <f t="shared" ref="G64:G66" si="43">D64-C64</f>
        <v>-6632</v>
      </c>
      <c r="H64" s="373">
        <f t="shared" ref="H64:H66" si="44">G64/C64*100</f>
        <v>-94.7</v>
      </c>
    </row>
    <row r="65" spans="1:12" s="382" customFormat="1" ht="31.2">
      <c r="A65" s="384" t="s">
        <v>78</v>
      </c>
      <c r="B65" s="389">
        <f>'I. Фін результат'!C70</f>
        <v>8397</v>
      </c>
      <c r="C65" s="389">
        <f>'I. Фін результат'!E70</f>
        <v>7027</v>
      </c>
      <c r="D65" s="389">
        <f>'I. Фін результат'!F70</f>
        <v>549</v>
      </c>
      <c r="E65" s="372">
        <f t="shared" si="41"/>
        <v>-7848</v>
      </c>
      <c r="F65" s="373">
        <f t="shared" si="42"/>
        <v>-93.5</v>
      </c>
      <c r="G65" s="372">
        <f t="shared" si="43"/>
        <v>-6478</v>
      </c>
      <c r="H65" s="373">
        <f t="shared" si="44"/>
        <v>-92.2</v>
      </c>
    </row>
    <row r="66" spans="1:12" s="382" customFormat="1" ht="31.2">
      <c r="A66" s="381" t="s">
        <v>288</v>
      </c>
      <c r="B66" s="388">
        <f>'I. Фін результат'!C75</f>
        <v>6881</v>
      </c>
      <c r="C66" s="388">
        <f>'I. Фін результат'!E75</f>
        <v>5762</v>
      </c>
      <c r="D66" s="388">
        <f>'I. Фін результат'!F75</f>
        <v>450</v>
      </c>
      <c r="E66" s="369">
        <f t="shared" si="41"/>
        <v>-6431</v>
      </c>
      <c r="F66" s="370">
        <f t="shared" si="42"/>
        <v>-93.5</v>
      </c>
      <c r="G66" s="369">
        <f t="shared" si="43"/>
        <v>-5312</v>
      </c>
      <c r="H66" s="370">
        <f t="shared" si="44"/>
        <v>-92.2</v>
      </c>
    </row>
    <row r="67" spans="1:12" s="382" customFormat="1">
      <c r="A67" s="384" t="s">
        <v>613</v>
      </c>
      <c r="B67" s="389">
        <f>'I. Фін результат'!C76</f>
        <v>6881</v>
      </c>
      <c r="C67" s="389">
        <f>'I. Фін результат'!E76</f>
        <v>5762</v>
      </c>
      <c r="D67" s="389">
        <f>'I. Фін результат'!F76</f>
        <v>450</v>
      </c>
      <c r="E67" s="390"/>
      <c r="F67" s="373"/>
      <c r="G67" s="390"/>
      <c r="H67" s="373"/>
    </row>
    <row r="68" spans="1:12" s="382" customFormat="1" ht="20.25" customHeight="1">
      <c r="A68" s="384" t="s">
        <v>24</v>
      </c>
      <c r="B68" s="389">
        <v>0</v>
      </c>
      <c r="C68" s="389">
        <v>0</v>
      </c>
      <c r="D68" s="389">
        <v>0</v>
      </c>
      <c r="E68" s="390"/>
      <c r="F68" s="373"/>
      <c r="G68" s="390"/>
      <c r="H68" s="373"/>
    </row>
    <row r="69" spans="1:12" ht="31.5" customHeight="1">
      <c r="A69" s="329" t="s">
        <v>614</v>
      </c>
      <c r="B69" s="331"/>
      <c r="C69" s="333"/>
      <c r="D69" s="333"/>
      <c r="E69" s="333"/>
      <c r="F69" s="333"/>
      <c r="G69" s="333"/>
      <c r="H69" s="333"/>
    </row>
    <row r="70" spans="1:12" ht="15" customHeight="1">
      <c r="A70" s="736" t="s">
        <v>615</v>
      </c>
      <c r="B70" s="736"/>
      <c r="C70" s="736"/>
      <c r="D70" s="736"/>
      <c r="E70" s="736"/>
      <c r="F70" s="736"/>
      <c r="G70" s="736"/>
      <c r="H70" s="736"/>
    </row>
    <row r="71" spans="1:12" ht="15.75" customHeight="1">
      <c r="A71" s="736" t="s">
        <v>616</v>
      </c>
      <c r="B71" s="736"/>
      <c r="C71" s="736"/>
      <c r="D71" s="736"/>
      <c r="E71" s="736"/>
      <c r="F71" s="736"/>
      <c r="G71" s="736"/>
      <c r="H71" s="736"/>
    </row>
    <row r="72" spans="1:12" ht="10.5" customHeight="1">
      <c r="A72" s="737" t="s">
        <v>395</v>
      </c>
      <c r="B72" s="737"/>
      <c r="C72" s="737"/>
      <c r="D72" s="737"/>
      <c r="E72" s="737"/>
      <c r="F72" s="737"/>
      <c r="G72" s="737"/>
      <c r="H72" s="737"/>
    </row>
    <row r="73" spans="1:12" ht="15.75" customHeight="1">
      <c r="A73" s="738" t="s">
        <v>594</v>
      </c>
      <c r="B73" s="741" t="s">
        <v>671</v>
      </c>
      <c r="C73" s="741" t="s">
        <v>672</v>
      </c>
      <c r="D73" s="741" t="s">
        <v>673</v>
      </c>
      <c r="E73" s="741" t="s">
        <v>595</v>
      </c>
      <c r="F73" s="741"/>
      <c r="G73" s="741"/>
      <c r="H73" s="741"/>
    </row>
    <row r="74" spans="1:12" ht="43.5" customHeight="1">
      <c r="A74" s="739"/>
      <c r="B74" s="741"/>
      <c r="C74" s="741"/>
      <c r="D74" s="741"/>
      <c r="E74" s="742" t="s">
        <v>712</v>
      </c>
      <c r="F74" s="742"/>
      <c r="G74" s="742" t="s">
        <v>713</v>
      </c>
      <c r="H74" s="742"/>
    </row>
    <row r="75" spans="1:12">
      <c r="A75" s="740"/>
      <c r="B75" s="741"/>
      <c r="C75" s="741"/>
      <c r="D75" s="741"/>
      <c r="E75" s="352" t="s">
        <v>596</v>
      </c>
      <c r="F75" s="352" t="s">
        <v>597</v>
      </c>
      <c r="G75" s="352" t="s">
        <v>596</v>
      </c>
      <c r="H75" s="352" t="s">
        <v>597</v>
      </c>
      <c r="L75" s="327"/>
    </row>
    <row r="76" spans="1:12" s="382" customFormat="1" ht="26.25" customHeight="1">
      <c r="A76" s="381" t="s">
        <v>617</v>
      </c>
      <c r="B76" s="391">
        <f>SUM(B77:B84)</f>
        <v>43348</v>
      </c>
      <c r="C76" s="391">
        <f>SUM(C77:C84)</f>
        <v>47284</v>
      </c>
      <c r="D76" s="391">
        <f t="shared" ref="D76" si="45">SUM(D77:D84)</f>
        <v>48462</v>
      </c>
      <c r="E76" s="375">
        <f>D76-B76</f>
        <v>5114</v>
      </c>
      <c r="F76" s="370">
        <f>E76/B76*100</f>
        <v>11.8</v>
      </c>
      <c r="G76" s="369">
        <f>D76-C76</f>
        <v>1178</v>
      </c>
      <c r="H76" s="370">
        <f>G76/C76*100</f>
        <v>2.5</v>
      </c>
    </row>
    <row r="77" spans="1:12" s="382" customFormat="1" ht="20.25" customHeight="1">
      <c r="A77" s="384" t="s">
        <v>618</v>
      </c>
      <c r="B77" s="392">
        <f>'ІІ. Розр. з бюджетом'!C20</f>
        <v>15793</v>
      </c>
      <c r="C77" s="392">
        <f>'ІІ. Розр. з бюджетом'!E20</f>
        <v>16126</v>
      </c>
      <c r="D77" s="392">
        <f>'ІІ. Розр. з бюджетом'!F20</f>
        <v>16000</v>
      </c>
      <c r="E77" s="377">
        <f t="shared" ref="E77:E84" si="46">D77-B77</f>
        <v>207</v>
      </c>
      <c r="F77" s="373">
        <f t="shared" ref="F77:F84" si="47">E77/B77*100</f>
        <v>1.3</v>
      </c>
      <c r="G77" s="372">
        <f t="shared" ref="G77:G84" si="48">D77-C77</f>
        <v>-126</v>
      </c>
      <c r="H77" s="373">
        <f t="shared" ref="H77:H84" si="49">G77/C77*100</f>
        <v>-0.8</v>
      </c>
    </row>
    <row r="78" spans="1:12" s="382" customFormat="1" ht="20.25" customHeight="1">
      <c r="A78" s="384" t="s">
        <v>619</v>
      </c>
      <c r="B78" s="392">
        <f>'ІІ. Розр. з бюджетом'!C29</f>
        <v>8691</v>
      </c>
      <c r="C78" s="392">
        <f>'ІІ. Розр. з бюджетом'!E29</f>
        <v>9637</v>
      </c>
      <c r="D78" s="392">
        <f>'ІІ. Розр. з бюджетом'!F29</f>
        <v>10542</v>
      </c>
      <c r="E78" s="377">
        <f t="shared" si="46"/>
        <v>1851</v>
      </c>
      <c r="F78" s="373">
        <f t="shared" si="47"/>
        <v>21.3</v>
      </c>
      <c r="G78" s="372">
        <f t="shared" si="48"/>
        <v>905</v>
      </c>
      <c r="H78" s="373">
        <f t="shared" si="49"/>
        <v>9.4</v>
      </c>
    </row>
    <row r="79" spans="1:12" s="382" customFormat="1" ht="20.25" customHeight="1">
      <c r="A79" s="384" t="s">
        <v>620</v>
      </c>
      <c r="B79" s="392">
        <f>'ІІ. Розр. з бюджетом'!C25</f>
        <v>868</v>
      </c>
      <c r="C79" s="392">
        <f>'ІІ. Розр. з бюджетом'!E25</f>
        <v>2677</v>
      </c>
      <c r="D79" s="392">
        <f>'ІІ. Розр. з бюджетом'!F25</f>
        <v>2928</v>
      </c>
      <c r="E79" s="377">
        <f t="shared" si="46"/>
        <v>2060</v>
      </c>
      <c r="F79" s="373">
        <f t="shared" si="47"/>
        <v>237.3</v>
      </c>
      <c r="G79" s="372">
        <f t="shared" si="48"/>
        <v>251</v>
      </c>
      <c r="H79" s="373">
        <f t="shared" si="49"/>
        <v>9.4</v>
      </c>
    </row>
    <row r="80" spans="1:12" s="382" customFormat="1" ht="47.25" customHeight="1">
      <c r="A80" s="384" t="s">
        <v>621</v>
      </c>
      <c r="B80" s="392">
        <f>'ІІ. Розр. з бюджетом'!C38</f>
        <v>9953</v>
      </c>
      <c r="C80" s="392">
        <f>'ІІ. Розр. з бюджетом'!E38</f>
        <v>11171</v>
      </c>
      <c r="D80" s="392">
        <f>'ІІ. Розр. з бюджетом'!F38</f>
        <v>12884</v>
      </c>
      <c r="E80" s="377">
        <f t="shared" si="46"/>
        <v>2931</v>
      </c>
      <c r="F80" s="373">
        <f t="shared" si="47"/>
        <v>29.4</v>
      </c>
      <c r="G80" s="372">
        <f t="shared" si="48"/>
        <v>1713</v>
      </c>
      <c r="H80" s="373">
        <f t="shared" si="49"/>
        <v>15.3</v>
      </c>
    </row>
    <row r="81" spans="1:8" s="382" customFormat="1" ht="31.2">
      <c r="A81" s="384" t="s">
        <v>622</v>
      </c>
      <c r="B81" s="392">
        <f>'ІІ. Розр. з бюджетом'!C28</f>
        <v>1516</v>
      </c>
      <c r="C81" s="392">
        <f>'ІІ. Розр. з бюджетом'!E28</f>
        <v>1265</v>
      </c>
      <c r="D81" s="392">
        <f>'ІІ. Розр. з бюджетом'!F28</f>
        <v>99</v>
      </c>
      <c r="E81" s="377">
        <f t="shared" si="46"/>
        <v>-1417</v>
      </c>
      <c r="F81" s="373">
        <f t="shared" si="47"/>
        <v>-93.5</v>
      </c>
      <c r="G81" s="372">
        <f t="shared" si="48"/>
        <v>-1166</v>
      </c>
      <c r="H81" s="373">
        <f t="shared" si="49"/>
        <v>-92.2</v>
      </c>
    </row>
    <row r="82" spans="1:8" s="382" customFormat="1" ht="23.25" customHeight="1">
      <c r="A82" s="384" t="s">
        <v>623</v>
      </c>
      <c r="B82" s="392">
        <f>'ІІ. Розр. з бюджетом'!C31</f>
        <v>193</v>
      </c>
      <c r="C82" s="392">
        <f>'ІІ. Розр. з бюджетом'!E31</f>
        <v>192</v>
      </c>
      <c r="D82" s="392">
        <f>'ІІ. Розр. з бюджетом'!F31</f>
        <v>216</v>
      </c>
      <c r="E82" s="377">
        <f t="shared" si="46"/>
        <v>23</v>
      </c>
      <c r="F82" s="373">
        <f t="shared" si="47"/>
        <v>11.9</v>
      </c>
      <c r="G82" s="372">
        <f t="shared" si="48"/>
        <v>24</v>
      </c>
      <c r="H82" s="373">
        <f t="shared" si="49"/>
        <v>12.5</v>
      </c>
    </row>
    <row r="83" spans="1:8" s="382" customFormat="1" ht="23.25" customHeight="1">
      <c r="A83" s="384" t="s">
        <v>624</v>
      </c>
      <c r="B83" s="392">
        <f>'ІІ. Розр. з бюджетом'!C39</f>
        <v>5646</v>
      </c>
      <c r="C83" s="392">
        <f>'ІІ. Розр. з бюджетом'!E39</f>
        <v>5640</v>
      </c>
      <c r="D83" s="392">
        <f>'ІІ. Розр. з бюджетом'!F39</f>
        <v>5748</v>
      </c>
      <c r="E83" s="377">
        <f t="shared" si="46"/>
        <v>102</v>
      </c>
      <c r="F83" s="373">
        <f t="shared" si="47"/>
        <v>1.8</v>
      </c>
      <c r="G83" s="372">
        <f t="shared" si="48"/>
        <v>108</v>
      </c>
      <c r="H83" s="373">
        <f t="shared" si="49"/>
        <v>1.9</v>
      </c>
    </row>
    <row r="84" spans="1:8" s="382" customFormat="1" ht="30" customHeight="1">
      <c r="A84" s="330" t="s">
        <v>625</v>
      </c>
      <c r="B84" s="371">
        <f>'ІІ. Розр. з бюджетом'!C33</f>
        <v>688</v>
      </c>
      <c r="C84" s="392">
        <f>'ІІ. Розр. з бюджетом'!E33</f>
        <v>576</v>
      </c>
      <c r="D84" s="392">
        <f>'ІІ. Розр. з бюджетом'!F33</f>
        <v>45</v>
      </c>
      <c r="E84" s="377">
        <f t="shared" si="46"/>
        <v>-643</v>
      </c>
      <c r="F84" s="373">
        <f t="shared" si="47"/>
        <v>-93.5</v>
      </c>
      <c r="G84" s="372">
        <f t="shared" si="48"/>
        <v>-531</v>
      </c>
      <c r="H84" s="373">
        <f t="shared" si="49"/>
        <v>-92.2</v>
      </c>
    </row>
    <row r="85" spans="1:8" ht="18.75" customHeight="1"/>
    <row r="86" spans="1:8" ht="63" customHeight="1"/>
    <row r="87" spans="1:8" ht="30" customHeight="1"/>
    <row r="88" spans="1:8" ht="18" customHeight="1"/>
    <row r="89" spans="1:8" ht="19.5" customHeight="1"/>
  </sheetData>
  <sheetProtection algorithmName="SHA-512" hashValue="4bCaOIVxWaDy+EElWo7Nn1U2DCICWzhzkZJgZ5/VknueFAuFkIU51jaCW9VHK/RLOfmh2AJexIVY6YAybEmRsA==" saltValue="I5ormo7jwd1S+SVM805wSg==" spinCount="100000" sheet="1" objects="1" scenarios="1" selectLockedCells="1" selectUnlockedCells="1"/>
  <mergeCells count="49">
    <mergeCell ref="A1:H1"/>
    <mergeCell ref="A2:H2"/>
    <mergeCell ref="A3:H3"/>
    <mergeCell ref="A4:A6"/>
    <mergeCell ref="B4:B6"/>
    <mergeCell ref="C4:C6"/>
    <mergeCell ref="D4:D6"/>
    <mergeCell ref="E4:H4"/>
    <mergeCell ref="E5:F5"/>
    <mergeCell ref="G5:H5"/>
    <mergeCell ref="A26:H26"/>
    <mergeCell ref="A27:H27"/>
    <mergeCell ref="A28:H28"/>
    <mergeCell ref="A29:A31"/>
    <mergeCell ref="B29:B31"/>
    <mergeCell ref="C29:C31"/>
    <mergeCell ref="D29:D31"/>
    <mergeCell ref="E29:H29"/>
    <mergeCell ref="E30:F30"/>
    <mergeCell ref="G30:H30"/>
    <mergeCell ref="A39:H39"/>
    <mergeCell ref="A40:H40"/>
    <mergeCell ref="A41:H41"/>
    <mergeCell ref="A42:A44"/>
    <mergeCell ref="B42:B44"/>
    <mergeCell ref="C42:C44"/>
    <mergeCell ref="D42:D44"/>
    <mergeCell ref="E42:H42"/>
    <mergeCell ref="E43:F43"/>
    <mergeCell ref="G43:H43"/>
    <mergeCell ref="A57:H57"/>
    <mergeCell ref="A59:H59"/>
    <mergeCell ref="A60:A62"/>
    <mergeCell ref="B60:B62"/>
    <mergeCell ref="C60:C62"/>
    <mergeCell ref="D60:D62"/>
    <mergeCell ref="E60:H60"/>
    <mergeCell ref="E61:F61"/>
    <mergeCell ref="G61:H61"/>
    <mergeCell ref="A70:H70"/>
    <mergeCell ref="A71:H71"/>
    <mergeCell ref="A72:H72"/>
    <mergeCell ref="A73:A75"/>
    <mergeCell ref="B73:B75"/>
    <mergeCell ref="C73:C75"/>
    <mergeCell ref="D73:D75"/>
    <mergeCell ref="E73:H73"/>
    <mergeCell ref="E74:F74"/>
    <mergeCell ref="G74:H74"/>
  </mergeCells>
  <pageMargins left="0.7" right="0.16" top="0.3" bottom="0.3" header="0.3" footer="0.3"/>
  <pageSetup paperSize="9" scale="85" orientation="portrait" r:id="rId1"/>
  <rowBreaks count="2" manualBreakCount="2">
    <brk id="38" max="7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324"/>
  <sheetViews>
    <sheetView view="pageBreakPreview" topLeftCell="A67" zoomScale="62" zoomScaleNormal="62" zoomScaleSheetLayoutView="62" workbookViewId="0">
      <selection activeCell="A67" sqref="A1:XFD1048576"/>
    </sheetView>
  </sheetViews>
  <sheetFormatPr defaultColWidth="9.109375" defaultRowHeight="21"/>
  <cols>
    <col min="1" max="1" width="84" style="400" customWidth="1"/>
    <col min="2" max="2" width="14.88671875" style="396" customWidth="1"/>
    <col min="3" max="3" width="20.44140625" style="396" customWidth="1"/>
    <col min="4" max="4" width="19.88671875" style="396" customWidth="1"/>
    <col min="5" max="5" width="20.109375" style="396" customWidth="1"/>
    <col min="6" max="6" width="21.109375" style="400" customWidth="1"/>
    <col min="7" max="7" width="18" style="400" customWidth="1"/>
    <col min="8" max="8" width="18.44140625" style="400" customWidth="1"/>
    <col min="9" max="9" width="19" style="400" customWidth="1"/>
    <col min="10" max="10" width="18.109375" style="400" customWidth="1"/>
    <col min="11" max="11" width="29.5546875" style="400" customWidth="1"/>
    <col min="12" max="17" width="9.109375" style="400"/>
    <col min="18" max="18" width="13.33203125" style="400" bestFit="1" customWidth="1"/>
    <col min="19" max="21" width="4.33203125" style="400" bestFit="1" customWidth="1"/>
    <col min="22" max="22" width="13.33203125" style="400" bestFit="1" customWidth="1"/>
    <col min="23" max="16384" width="9.109375" style="400"/>
  </cols>
  <sheetData>
    <row r="1" spans="1:24">
      <c r="K1" s="5" t="s">
        <v>349</v>
      </c>
    </row>
    <row r="2" spans="1:24" ht="22.8">
      <c r="A2" s="494" t="s">
        <v>168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24" ht="26.25" customHeight="1">
      <c r="A3" s="405"/>
      <c r="B3" s="428"/>
      <c r="C3" s="405"/>
      <c r="D3" s="405"/>
      <c r="E3" s="428"/>
      <c r="F3" s="405"/>
      <c r="G3" s="405"/>
      <c r="H3" s="405"/>
      <c r="I3" s="405"/>
      <c r="J3" s="220" t="s">
        <v>355</v>
      </c>
    </row>
    <row r="4" spans="1:24" ht="36" customHeight="1">
      <c r="A4" s="490" t="s">
        <v>163</v>
      </c>
      <c r="B4" s="488" t="s">
        <v>17</v>
      </c>
      <c r="C4" s="483" t="s">
        <v>650</v>
      </c>
      <c r="D4" s="483" t="s">
        <v>651</v>
      </c>
      <c r="E4" s="481" t="s">
        <v>652</v>
      </c>
      <c r="F4" s="488" t="s">
        <v>653</v>
      </c>
      <c r="G4" s="488" t="s">
        <v>324</v>
      </c>
      <c r="H4" s="488"/>
      <c r="I4" s="488"/>
      <c r="J4" s="488"/>
      <c r="K4" s="488" t="s">
        <v>152</v>
      </c>
    </row>
    <row r="5" spans="1:24" ht="72" customHeight="1">
      <c r="A5" s="490"/>
      <c r="B5" s="488"/>
      <c r="C5" s="484"/>
      <c r="D5" s="484"/>
      <c r="E5" s="482"/>
      <c r="F5" s="488"/>
      <c r="G5" s="408" t="s">
        <v>125</v>
      </c>
      <c r="H5" s="408" t="s">
        <v>126</v>
      </c>
      <c r="I5" s="408" t="s">
        <v>127</v>
      </c>
      <c r="J5" s="408" t="s">
        <v>63</v>
      </c>
      <c r="K5" s="488"/>
    </row>
    <row r="6" spans="1:24" ht="30.75" customHeight="1">
      <c r="A6" s="398">
        <v>1</v>
      </c>
      <c r="B6" s="397">
        <v>2</v>
      </c>
      <c r="C6" s="397">
        <v>3</v>
      </c>
      <c r="D6" s="397">
        <v>4</v>
      </c>
      <c r="E6" s="397">
        <v>5</v>
      </c>
      <c r="F6" s="397">
        <v>6</v>
      </c>
      <c r="G6" s="397">
        <v>7</v>
      </c>
      <c r="H6" s="397">
        <v>8</v>
      </c>
      <c r="I6" s="397">
        <v>9</v>
      </c>
      <c r="J6" s="397">
        <v>10</v>
      </c>
      <c r="K6" s="397">
        <v>11</v>
      </c>
    </row>
    <row r="7" spans="1:24" s="418" customFormat="1" ht="33" customHeight="1">
      <c r="A7" s="513" t="s">
        <v>167</v>
      </c>
      <c r="B7" s="514"/>
      <c r="C7" s="514"/>
      <c r="D7" s="514"/>
      <c r="E7" s="514"/>
      <c r="F7" s="514"/>
      <c r="G7" s="514"/>
      <c r="H7" s="514"/>
      <c r="I7" s="514"/>
      <c r="J7" s="514"/>
      <c r="K7" s="515"/>
    </row>
    <row r="8" spans="1:24" s="418" customFormat="1" ht="36" customHeight="1">
      <c r="A8" s="147" t="s">
        <v>137</v>
      </c>
      <c r="B8" s="163">
        <v>1000</v>
      </c>
      <c r="C8" s="117">
        <v>149171</v>
      </c>
      <c r="D8" s="117">
        <v>149212</v>
      </c>
      <c r="E8" s="117">
        <v>152130</v>
      </c>
      <c r="F8" s="117">
        <f>SUM(G8:J8)</f>
        <v>155328</v>
      </c>
      <c r="G8" s="117">
        <v>38832</v>
      </c>
      <c r="H8" s="117">
        <v>38832</v>
      </c>
      <c r="I8" s="117">
        <v>38832</v>
      </c>
      <c r="J8" s="117">
        <v>38832</v>
      </c>
      <c r="K8" s="42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</row>
    <row r="9" spans="1:24" s="418" customFormat="1" ht="36" customHeight="1">
      <c r="A9" s="147" t="s">
        <v>118</v>
      </c>
      <c r="B9" s="163">
        <v>1010</v>
      </c>
      <c r="C9" s="117">
        <f>SUM(C10:C17)</f>
        <v>-126221</v>
      </c>
      <c r="D9" s="117">
        <f>SUM(D10:D17)</f>
        <v>-126388</v>
      </c>
      <c r="E9" s="117">
        <f>SUM(E10:E17)</f>
        <v>-130061</v>
      </c>
      <c r="F9" s="117">
        <f t="shared" ref="F9:F73" si="0">SUM(G9:J9)</f>
        <v>-137853</v>
      </c>
      <c r="G9" s="117">
        <f>SUM(G10:G17)</f>
        <v>-34463</v>
      </c>
      <c r="H9" s="117">
        <f>SUM(H10:H17)</f>
        <v>-34463</v>
      </c>
      <c r="I9" s="117">
        <f>SUM(I10:I17)</f>
        <v>-34463</v>
      </c>
      <c r="J9" s="117">
        <f>SUM(J10:J17)</f>
        <v>-34464</v>
      </c>
      <c r="K9" s="424"/>
      <c r="M9" s="294"/>
      <c r="N9" s="294"/>
      <c r="O9" s="294"/>
      <c r="P9" s="294"/>
      <c r="Q9" s="294"/>
      <c r="R9" s="294"/>
      <c r="S9" s="294"/>
      <c r="T9" s="294"/>
      <c r="U9" s="294"/>
      <c r="V9" s="294"/>
    </row>
    <row r="10" spans="1:24" s="6" customFormat="1" ht="30.75" customHeight="1">
      <c r="A10" s="420" t="s">
        <v>301</v>
      </c>
      <c r="B10" s="397">
        <v>1011</v>
      </c>
      <c r="C10" s="116">
        <v>-50324</v>
      </c>
      <c r="D10" s="116">
        <v>-49804</v>
      </c>
      <c r="E10" s="116">
        <f>D10</f>
        <v>-49804</v>
      </c>
      <c r="F10" s="116">
        <f t="shared" si="0"/>
        <v>-52000</v>
      </c>
      <c r="G10" s="116">
        <f>-13000</f>
        <v>-13000</v>
      </c>
      <c r="H10" s="116">
        <f t="shared" ref="H10:J10" si="1">-13000</f>
        <v>-13000</v>
      </c>
      <c r="I10" s="116">
        <f t="shared" si="1"/>
        <v>-13000</v>
      </c>
      <c r="J10" s="116">
        <f t="shared" si="1"/>
        <v>-13000</v>
      </c>
      <c r="K10" s="427"/>
      <c r="M10" s="294"/>
      <c r="N10" s="294"/>
      <c r="O10" s="294"/>
      <c r="P10" s="294"/>
      <c r="Q10" s="294"/>
      <c r="R10" s="294"/>
      <c r="S10" s="294"/>
      <c r="T10" s="294"/>
      <c r="U10" s="294"/>
      <c r="V10" s="294"/>
    </row>
    <row r="11" spans="1:24" s="6" customFormat="1" ht="30.75" customHeight="1">
      <c r="A11" s="420" t="s">
        <v>385</v>
      </c>
      <c r="B11" s="397">
        <v>1012</v>
      </c>
      <c r="C11" s="116" t="s">
        <v>195</v>
      </c>
      <c r="D11" s="116" t="s">
        <v>195</v>
      </c>
      <c r="E11" s="116" t="s">
        <v>195</v>
      </c>
      <c r="F11" s="116">
        <f t="shared" si="0"/>
        <v>0</v>
      </c>
      <c r="G11" s="116" t="s">
        <v>195</v>
      </c>
      <c r="H11" s="116" t="s">
        <v>195</v>
      </c>
      <c r="I11" s="116" t="s">
        <v>195</v>
      </c>
      <c r="J11" s="116" t="s">
        <v>195</v>
      </c>
      <c r="K11" s="427"/>
      <c r="M11" s="294"/>
      <c r="N11" s="294"/>
      <c r="O11" s="294"/>
      <c r="P11" s="294"/>
      <c r="Q11" s="294"/>
      <c r="R11" s="294"/>
      <c r="S11" s="294"/>
      <c r="T11" s="294"/>
      <c r="U11" s="294"/>
      <c r="V11" s="294"/>
    </row>
    <row r="12" spans="1:24" s="6" customFormat="1" ht="30.75" customHeight="1">
      <c r="A12" s="420" t="s">
        <v>302</v>
      </c>
      <c r="B12" s="397">
        <v>1013</v>
      </c>
      <c r="C12" s="116">
        <v>-2036</v>
      </c>
      <c r="D12" s="116">
        <v>-1832</v>
      </c>
      <c r="E12" s="116">
        <v>-1832</v>
      </c>
      <c r="F12" s="116">
        <f t="shared" si="0"/>
        <v>-1908</v>
      </c>
      <c r="G12" s="116">
        <f>-477</f>
        <v>-477</v>
      </c>
      <c r="H12" s="116">
        <f t="shared" ref="H12:J12" si="2">-477</f>
        <v>-477</v>
      </c>
      <c r="I12" s="116">
        <f t="shared" si="2"/>
        <v>-477</v>
      </c>
      <c r="J12" s="116">
        <f t="shared" si="2"/>
        <v>-477</v>
      </c>
      <c r="K12" s="427"/>
      <c r="M12" s="294"/>
      <c r="N12" s="294"/>
      <c r="O12" s="294"/>
      <c r="P12" s="294"/>
      <c r="Q12" s="294"/>
      <c r="R12" s="294"/>
      <c r="S12" s="294"/>
      <c r="T12" s="294"/>
      <c r="U12" s="294"/>
      <c r="V12" s="294"/>
    </row>
    <row r="13" spans="1:24" s="6" customFormat="1" ht="30.75" customHeight="1">
      <c r="A13" s="420" t="s">
        <v>5</v>
      </c>
      <c r="B13" s="397">
        <v>1014</v>
      </c>
      <c r="C13" s="116">
        <v>-37898</v>
      </c>
      <c r="D13" s="116">
        <v>-39372</v>
      </c>
      <c r="E13" s="116">
        <v>-41808</v>
      </c>
      <c r="F13" s="116">
        <f t="shared" si="0"/>
        <v>-46540</v>
      </c>
      <c r="G13" s="116">
        <v>-11635</v>
      </c>
      <c r="H13" s="116">
        <v>-11635</v>
      </c>
      <c r="I13" s="116">
        <v>-11635</v>
      </c>
      <c r="J13" s="116">
        <v>-11635</v>
      </c>
      <c r="K13" s="221"/>
      <c r="M13" s="294"/>
      <c r="N13" s="294"/>
      <c r="O13" s="294"/>
      <c r="P13" s="294"/>
      <c r="Q13" s="294"/>
      <c r="R13" s="294"/>
      <c r="S13" s="294"/>
      <c r="T13" s="294"/>
      <c r="U13" s="294"/>
      <c r="V13" s="294"/>
    </row>
    <row r="14" spans="1:24" s="6" customFormat="1" ht="30.75" customHeight="1">
      <c r="A14" s="420" t="s">
        <v>6</v>
      </c>
      <c r="B14" s="397">
        <v>1015</v>
      </c>
      <c r="C14" s="116">
        <v>-8147</v>
      </c>
      <c r="D14" s="116">
        <v>-8660</v>
      </c>
      <c r="E14" s="116">
        <f>ROUND(E13*0.215,0)</f>
        <v>-8989</v>
      </c>
      <c r="F14" s="116">
        <f t="shared" si="0"/>
        <v>-10239</v>
      </c>
      <c r="G14" s="116">
        <f t="shared" ref="G14:I14" si="3">ROUND(G13*22%,0)</f>
        <v>-2560</v>
      </c>
      <c r="H14" s="116">
        <f>ROUND(H13*22%,0)+1</f>
        <v>-2559</v>
      </c>
      <c r="I14" s="116">
        <f t="shared" si="3"/>
        <v>-2560</v>
      </c>
      <c r="J14" s="116">
        <f>ROUND(J13*22%,0)</f>
        <v>-2560</v>
      </c>
      <c r="K14" s="221"/>
      <c r="M14" s="294"/>
      <c r="N14" s="294"/>
      <c r="O14" s="294"/>
      <c r="P14" s="294"/>
      <c r="Q14" s="294"/>
      <c r="R14" s="294"/>
      <c r="S14" s="294"/>
      <c r="T14" s="294"/>
      <c r="U14" s="294"/>
      <c r="V14" s="294"/>
    </row>
    <row r="15" spans="1:24" s="6" customFormat="1" ht="62.25" customHeight="1">
      <c r="A15" s="420" t="s">
        <v>303</v>
      </c>
      <c r="B15" s="397">
        <v>1016</v>
      </c>
      <c r="C15" s="116">
        <v>-2790</v>
      </c>
      <c r="D15" s="116">
        <v>-1932</v>
      </c>
      <c r="E15" s="116">
        <v>-1504</v>
      </c>
      <c r="F15" s="116">
        <f t="shared" si="0"/>
        <v>-1504</v>
      </c>
      <c r="G15" s="116">
        <f>-376</f>
        <v>-376</v>
      </c>
      <c r="H15" s="116">
        <f t="shared" ref="H15:J15" si="4">-376</f>
        <v>-376</v>
      </c>
      <c r="I15" s="116">
        <f t="shared" si="4"/>
        <v>-376</v>
      </c>
      <c r="J15" s="116">
        <f t="shared" si="4"/>
        <v>-376</v>
      </c>
      <c r="K15" s="427"/>
      <c r="M15" s="294"/>
      <c r="N15" s="294"/>
      <c r="O15" s="294"/>
      <c r="P15" s="294"/>
      <c r="Q15" s="294"/>
      <c r="R15" s="294"/>
      <c r="S15" s="294"/>
      <c r="T15" s="294"/>
      <c r="U15" s="294"/>
      <c r="V15" s="294"/>
    </row>
    <row r="16" spans="1:24" s="6" customFormat="1" ht="30.75" customHeight="1">
      <c r="A16" s="420" t="s">
        <v>304</v>
      </c>
      <c r="B16" s="397">
        <v>1017</v>
      </c>
      <c r="C16" s="116">
        <v>-8567</v>
      </c>
      <c r="D16" s="116">
        <v>-8120</v>
      </c>
      <c r="E16" s="116">
        <v>-10016</v>
      </c>
      <c r="F16" s="116">
        <f t="shared" si="0"/>
        <v>-9072</v>
      </c>
      <c r="G16" s="116">
        <f>-2268</f>
        <v>-2268</v>
      </c>
      <c r="H16" s="116">
        <f t="shared" ref="H16:J16" si="5">-2268</f>
        <v>-2268</v>
      </c>
      <c r="I16" s="116">
        <f t="shared" si="5"/>
        <v>-2268</v>
      </c>
      <c r="J16" s="116">
        <f t="shared" si="5"/>
        <v>-2268</v>
      </c>
      <c r="K16" s="427"/>
      <c r="M16" s="294"/>
      <c r="N16" s="294"/>
      <c r="O16" s="294"/>
      <c r="P16" s="294"/>
      <c r="Q16" s="294"/>
      <c r="R16" s="294"/>
      <c r="S16" s="294"/>
      <c r="T16" s="294"/>
      <c r="U16" s="294"/>
      <c r="V16" s="294"/>
    </row>
    <row r="17" spans="1:22" s="6" customFormat="1" ht="30.75" customHeight="1">
      <c r="A17" s="420" t="s">
        <v>305</v>
      </c>
      <c r="B17" s="397">
        <v>1018</v>
      </c>
      <c r="C17" s="116">
        <f>'Розшифровка до Формування'!C7</f>
        <v>-16459</v>
      </c>
      <c r="D17" s="116">
        <f>'Розшифровка до Формування'!D7</f>
        <v>-16668</v>
      </c>
      <c r="E17" s="116">
        <f>'Розшифровка до Формування'!E7</f>
        <v>-16108</v>
      </c>
      <c r="F17" s="116">
        <f t="shared" si="0"/>
        <v>-16590</v>
      </c>
      <c r="G17" s="116">
        <f>'Розшифровка до Формування'!G7</f>
        <v>-4147</v>
      </c>
      <c r="H17" s="116">
        <f>'Розшифровка до Формування'!H7</f>
        <v>-4148</v>
      </c>
      <c r="I17" s="116">
        <f>'Розшифровка до Формування'!I7</f>
        <v>-4147</v>
      </c>
      <c r="J17" s="116">
        <f>'Розшифровка до Формування'!J7</f>
        <v>-4148</v>
      </c>
      <c r="K17" s="427"/>
      <c r="M17" s="294"/>
      <c r="N17" s="294"/>
      <c r="O17" s="294"/>
      <c r="P17" s="294"/>
      <c r="Q17" s="294"/>
      <c r="R17" s="294"/>
      <c r="S17" s="294"/>
      <c r="T17" s="294"/>
      <c r="U17" s="294"/>
      <c r="V17" s="294"/>
    </row>
    <row r="18" spans="1:22" s="418" customFormat="1" ht="36.75" customHeight="1">
      <c r="A18" s="147" t="s">
        <v>22</v>
      </c>
      <c r="B18" s="163">
        <v>1020</v>
      </c>
      <c r="C18" s="117">
        <f>SUM(C8,C9)</f>
        <v>22950</v>
      </c>
      <c r="D18" s="117">
        <f t="shared" ref="D18:J18" si="6">SUM(D8,D9)</f>
        <v>22824</v>
      </c>
      <c r="E18" s="117">
        <f t="shared" si="6"/>
        <v>22069</v>
      </c>
      <c r="F18" s="117">
        <f t="shared" si="0"/>
        <v>17475</v>
      </c>
      <c r="G18" s="117">
        <f>SUM(G8,G9)</f>
        <v>4369</v>
      </c>
      <c r="H18" s="117">
        <f t="shared" si="6"/>
        <v>4369</v>
      </c>
      <c r="I18" s="117">
        <f t="shared" si="6"/>
        <v>4369</v>
      </c>
      <c r="J18" s="117">
        <f t="shared" si="6"/>
        <v>4368</v>
      </c>
      <c r="K18" s="424"/>
      <c r="M18" s="294"/>
      <c r="N18" s="294"/>
      <c r="O18" s="294"/>
      <c r="P18" s="294"/>
      <c r="Q18" s="294"/>
      <c r="R18" s="294"/>
      <c r="S18" s="294"/>
      <c r="T18" s="294"/>
      <c r="U18" s="294"/>
      <c r="V18" s="294"/>
    </row>
    <row r="19" spans="1:22" s="6" customFormat="1" ht="36.75" customHeight="1">
      <c r="A19" s="147" t="s">
        <v>148</v>
      </c>
      <c r="B19" s="413">
        <v>1030</v>
      </c>
      <c r="C19" s="117">
        <f>SUM(C20:C37,C39)</f>
        <v>-14652</v>
      </c>
      <c r="D19" s="117">
        <f t="shared" ref="D19:E19" si="7">SUM(D20:D37,D39)</f>
        <v>-15786</v>
      </c>
      <c r="E19" s="117">
        <f t="shared" si="7"/>
        <v>-16074</v>
      </c>
      <c r="F19" s="117">
        <f t="shared" si="0"/>
        <v>-17105</v>
      </c>
      <c r="G19" s="117">
        <f t="shared" ref="G19" si="8">SUM(G20:G37,G39)</f>
        <v>-4276</v>
      </c>
      <c r="H19" s="117">
        <f>SUM(H20:H37,H39)</f>
        <v>-4277</v>
      </c>
      <c r="I19" s="117">
        <f t="shared" ref="I19" si="9">SUM(I20:I37,I39)</f>
        <v>-4276</v>
      </c>
      <c r="J19" s="117">
        <f t="shared" ref="J19" si="10">SUM(J20:J37,J39)</f>
        <v>-4276</v>
      </c>
      <c r="K19" s="424"/>
      <c r="M19" s="294"/>
      <c r="N19" s="294"/>
      <c r="O19" s="294"/>
      <c r="P19" s="294"/>
      <c r="Q19" s="294"/>
      <c r="R19" s="294"/>
      <c r="S19" s="294"/>
      <c r="T19" s="294"/>
      <c r="U19" s="294"/>
      <c r="V19" s="294"/>
    </row>
    <row r="20" spans="1:22" s="6" customFormat="1" ht="42" customHeight="1">
      <c r="A20" s="420" t="s">
        <v>86</v>
      </c>
      <c r="B20" s="397">
        <v>1031</v>
      </c>
      <c r="C20" s="116" t="s">
        <v>195</v>
      </c>
      <c r="D20" s="116" t="s">
        <v>195</v>
      </c>
      <c r="E20" s="116" t="s">
        <v>195</v>
      </c>
      <c r="F20" s="116">
        <f t="shared" si="0"/>
        <v>0</v>
      </c>
      <c r="G20" s="116" t="s">
        <v>195</v>
      </c>
      <c r="H20" s="116" t="s">
        <v>195</v>
      </c>
      <c r="I20" s="116" t="s">
        <v>195</v>
      </c>
      <c r="J20" s="116" t="s">
        <v>195</v>
      </c>
      <c r="K20" s="427"/>
      <c r="M20" s="294"/>
      <c r="N20" s="294"/>
      <c r="O20" s="294"/>
      <c r="P20" s="294"/>
      <c r="Q20" s="294"/>
      <c r="R20" s="294"/>
      <c r="S20" s="294"/>
      <c r="T20" s="294"/>
      <c r="U20" s="294"/>
      <c r="V20" s="294"/>
    </row>
    <row r="21" spans="1:22" s="6" customFormat="1" ht="30.75" customHeight="1">
      <c r="A21" s="420" t="s">
        <v>138</v>
      </c>
      <c r="B21" s="397">
        <v>1032</v>
      </c>
      <c r="C21" s="116" t="s">
        <v>195</v>
      </c>
      <c r="D21" s="116" t="s">
        <v>195</v>
      </c>
      <c r="E21" s="116" t="s">
        <v>195</v>
      </c>
      <c r="F21" s="116">
        <f t="shared" si="0"/>
        <v>0</v>
      </c>
      <c r="G21" s="116" t="s">
        <v>195</v>
      </c>
      <c r="H21" s="116" t="s">
        <v>195</v>
      </c>
      <c r="I21" s="116" t="s">
        <v>195</v>
      </c>
      <c r="J21" s="116" t="s">
        <v>195</v>
      </c>
      <c r="K21" s="427"/>
      <c r="M21" s="294"/>
      <c r="N21" s="294"/>
      <c r="O21" s="294"/>
      <c r="P21" s="294"/>
      <c r="Q21" s="294"/>
      <c r="R21" s="294"/>
      <c r="S21" s="294"/>
      <c r="T21" s="294"/>
      <c r="U21" s="294"/>
      <c r="V21" s="294"/>
    </row>
    <row r="22" spans="1:22" s="6" customFormat="1" ht="30.75" customHeight="1">
      <c r="A22" s="420" t="s">
        <v>21</v>
      </c>
      <c r="B22" s="397">
        <v>1033</v>
      </c>
      <c r="C22" s="116" t="s">
        <v>195</v>
      </c>
      <c r="D22" s="116" t="s">
        <v>195</v>
      </c>
      <c r="E22" s="116" t="s">
        <v>195</v>
      </c>
      <c r="F22" s="116">
        <f t="shared" si="0"/>
        <v>0</v>
      </c>
      <c r="G22" s="116" t="s">
        <v>195</v>
      </c>
      <c r="H22" s="116" t="s">
        <v>195</v>
      </c>
      <c r="I22" s="116" t="s">
        <v>195</v>
      </c>
      <c r="J22" s="116" t="s">
        <v>195</v>
      </c>
      <c r="K22" s="427"/>
      <c r="M22" s="294"/>
      <c r="N22" s="294"/>
      <c r="O22" s="294"/>
      <c r="P22" s="294"/>
      <c r="Q22" s="294"/>
      <c r="R22" s="294"/>
      <c r="S22" s="294"/>
      <c r="T22" s="294"/>
      <c r="U22" s="294"/>
      <c r="V22" s="294"/>
    </row>
    <row r="23" spans="1:22" s="6" customFormat="1" ht="30.75" customHeight="1">
      <c r="A23" s="420" t="s">
        <v>31</v>
      </c>
      <c r="B23" s="397">
        <v>1034</v>
      </c>
      <c r="C23" s="116">
        <v>-65</v>
      </c>
      <c r="D23" s="116" t="s">
        <v>195</v>
      </c>
      <c r="E23" s="116" t="s">
        <v>195</v>
      </c>
      <c r="F23" s="116">
        <f t="shared" si="0"/>
        <v>0</v>
      </c>
      <c r="G23" s="116" t="s">
        <v>195</v>
      </c>
      <c r="H23" s="116" t="s">
        <v>195</v>
      </c>
      <c r="I23" s="116" t="s">
        <v>195</v>
      </c>
      <c r="J23" s="116" t="s">
        <v>195</v>
      </c>
      <c r="K23" s="427"/>
      <c r="M23" s="294"/>
      <c r="N23" s="294"/>
      <c r="O23" s="294"/>
      <c r="P23" s="294"/>
      <c r="Q23" s="294"/>
      <c r="R23" s="294"/>
      <c r="S23" s="294"/>
      <c r="T23" s="294"/>
      <c r="U23" s="294"/>
      <c r="V23" s="294"/>
    </row>
    <row r="24" spans="1:22" s="6" customFormat="1" ht="30.75" customHeight="1">
      <c r="A24" s="420" t="s">
        <v>32</v>
      </c>
      <c r="B24" s="397">
        <v>1035</v>
      </c>
      <c r="C24" s="116">
        <v>-21</v>
      </c>
      <c r="D24" s="116">
        <v>-24</v>
      </c>
      <c r="E24" s="116">
        <f t="shared" ref="E24:E72" si="11">D24</f>
        <v>-24</v>
      </c>
      <c r="F24" s="116">
        <f t="shared" si="0"/>
        <v>-28</v>
      </c>
      <c r="G24" s="116">
        <f>-7</f>
        <v>-7</v>
      </c>
      <c r="H24" s="116">
        <f t="shared" ref="H24:J24" si="12">-7</f>
        <v>-7</v>
      </c>
      <c r="I24" s="116">
        <f t="shared" si="12"/>
        <v>-7</v>
      </c>
      <c r="J24" s="116">
        <f t="shared" si="12"/>
        <v>-7</v>
      </c>
      <c r="K24" s="427"/>
      <c r="M24" s="294"/>
      <c r="N24" s="294"/>
      <c r="O24" s="294"/>
      <c r="P24" s="294"/>
      <c r="Q24" s="294"/>
      <c r="R24" s="294"/>
      <c r="S24" s="294"/>
      <c r="T24" s="294"/>
      <c r="U24" s="294"/>
      <c r="V24" s="294"/>
    </row>
    <row r="25" spans="1:22" s="6" customFormat="1" ht="30.75" customHeight="1">
      <c r="A25" s="420" t="s">
        <v>33</v>
      </c>
      <c r="B25" s="397">
        <v>1036</v>
      </c>
      <c r="C25" s="116">
        <v>-10182</v>
      </c>
      <c r="D25" s="116">
        <v>-11032</v>
      </c>
      <c r="E25" s="116">
        <v>-11732</v>
      </c>
      <c r="F25" s="116">
        <f t="shared" si="0"/>
        <v>-12024</v>
      </c>
      <c r="G25" s="116">
        <v>-3006</v>
      </c>
      <c r="H25" s="116">
        <v>-3006</v>
      </c>
      <c r="I25" s="116">
        <v>-3006</v>
      </c>
      <c r="J25" s="116">
        <v>-3006</v>
      </c>
      <c r="K25" s="221"/>
      <c r="M25" s="294"/>
      <c r="N25" s="294"/>
      <c r="O25" s="294"/>
      <c r="P25" s="294"/>
      <c r="Q25" s="294"/>
      <c r="R25" s="294"/>
      <c r="S25" s="294"/>
      <c r="T25" s="294"/>
      <c r="U25" s="294"/>
      <c r="V25" s="294"/>
    </row>
    <row r="26" spans="1:22" s="6" customFormat="1" ht="30.75" customHeight="1">
      <c r="A26" s="420" t="s">
        <v>34</v>
      </c>
      <c r="B26" s="397">
        <v>1037</v>
      </c>
      <c r="C26" s="116">
        <v>-1897</v>
      </c>
      <c r="D26" s="116">
        <v>-2428</v>
      </c>
      <c r="E26" s="116">
        <f>ROUND(E25*0.186,0)</f>
        <v>-2182</v>
      </c>
      <c r="F26" s="116">
        <f t="shared" si="0"/>
        <v>-2645</v>
      </c>
      <c r="G26" s="116">
        <f t="shared" ref="G26:I26" si="13">ROUND(G25*22%,0)</f>
        <v>-661</v>
      </c>
      <c r="H26" s="116">
        <f>ROUND(H25*22%,0)-1</f>
        <v>-662</v>
      </c>
      <c r="I26" s="116">
        <f t="shared" si="13"/>
        <v>-661</v>
      </c>
      <c r="J26" s="116">
        <f>ROUND(J25*22%,0)</f>
        <v>-661</v>
      </c>
      <c r="K26" s="427"/>
      <c r="M26" s="294"/>
      <c r="N26" s="294"/>
      <c r="O26" s="294"/>
      <c r="P26" s="294"/>
      <c r="Q26" s="294"/>
      <c r="R26" s="294"/>
      <c r="S26" s="294"/>
      <c r="T26" s="294"/>
      <c r="U26" s="294"/>
      <c r="V26" s="294"/>
    </row>
    <row r="27" spans="1:22" s="6" customFormat="1" ht="47.25" customHeight="1">
      <c r="A27" s="420" t="s">
        <v>35</v>
      </c>
      <c r="B27" s="127">
        <v>1038</v>
      </c>
      <c r="C27" s="116">
        <v>-90</v>
      </c>
      <c r="D27" s="116">
        <v>-72</v>
      </c>
      <c r="E27" s="116">
        <v>-72</v>
      </c>
      <c r="F27" s="116">
        <f t="shared" si="0"/>
        <v>-80</v>
      </c>
      <c r="G27" s="116">
        <f>-20</f>
        <v>-20</v>
      </c>
      <c r="H27" s="116">
        <f t="shared" ref="H27:J27" si="14">-20</f>
        <v>-20</v>
      </c>
      <c r="I27" s="116">
        <f t="shared" si="14"/>
        <v>-20</v>
      </c>
      <c r="J27" s="116">
        <f t="shared" si="14"/>
        <v>-20</v>
      </c>
      <c r="K27" s="427"/>
      <c r="M27" s="294"/>
      <c r="N27" s="294"/>
      <c r="O27" s="294"/>
      <c r="P27" s="294"/>
      <c r="Q27" s="294"/>
      <c r="R27" s="294"/>
      <c r="S27" s="294"/>
      <c r="T27" s="294"/>
      <c r="U27" s="294"/>
      <c r="V27" s="294"/>
    </row>
    <row r="28" spans="1:22" s="6" customFormat="1" ht="51" customHeight="1">
      <c r="A28" s="420" t="s">
        <v>36</v>
      </c>
      <c r="B28" s="127">
        <v>1039</v>
      </c>
      <c r="C28" s="116" t="s">
        <v>195</v>
      </c>
      <c r="D28" s="116">
        <v>0</v>
      </c>
      <c r="E28" s="116" t="s">
        <v>195</v>
      </c>
      <c r="F28" s="116">
        <f t="shared" si="0"/>
        <v>0</v>
      </c>
      <c r="G28" s="116" t="s">
        <v>195</v>
      </c>
      <c r="H28" s="116" t="s">
        <v>195</v>
      </c>
      <c r="I28" s="116" t="s">
        <v>195</v>
      </c>
      <c r="J28" s="116" t="s">
        <v>195</v>
      </c>
      <c r="K28" s="427"/>
      <c r="M28" s="294"/>
      <c r="N28" s="294"/>
      <c r="O28" s="294"/>
      <c r="P28" s="294"/>
      <c r="Q28" s="294"/>
      <c r="R28" s="294"/>
      <c r="S28" s="294"/>
      <c r="T28" s="294"/>
      <c r="U28" s="294"/>
      <c r="V28" s="294"/>
    </row>
    <row r="29" spans="1:22" s="6" customFormat="1" ht="44.25" customHeight="1">
      <c r="A29" s="420" t="s">
        <v>37</v>
      </c>
      <c r="B29" s="397">
        <v>1040</v>
      </c>
      <c r="C29" s="116" t="s">
        <v>195</v>
      </c>
      <c r="D29" s="116">
        <v>0</v>
      </c>
      <c r="E29" s="116" t="s">
        <v>195</v>
      </c>
      <c r="F29" s="116">
        <f t="shared" si="0"/>
        <v>0</v>
      </c>
      <c r="G29" s="116" t="s">
        <v>195</v>
      </c>
      <c r="H29" s="116" t="s">
        <v>195</v>
      </c>
      <c r="I29" s="116" t="s">
        <v>195</v>
      </c>
      <c r="J29" s="116" t="s">
        <v>195</v>
      </c>
      <c r="K29" s="427"/>
      <c r="M29" s="294"/>
      <c r="N29" s="294"/>
      <c r="O29" s="294"/>
      <c r="P29" s="294"/>
      <c r="Q29" s="294"/>
      <c r="R29" s="294"/>
      <c r="S29" s="294"/>
      <c r="T29" s="294"/>
      <c r="U29" s="294"/>
      <c r="V29" s="294"/>
    </row>
    <row r="30" spans="1:22" s="6" customFormat="1" ht="30.75" customHeight="1">
      <c r="A30" s="420" t="s">
        <v>38</v>
      </c>
      <c r="B30" s="397">
        <v>1041</v>
      </c>
      <c r="C30" s="116" t="s">
        <v>195</v>
      </c>
      <c r="D30" s="116">
        <v>0</v>
      </c>
      <c r="E30" s="116" t="s">
        <v>195</v>
      </c>
      <c r="F30" s="116">
        <f t="shared" si="0"/>
        <v>0</v>
      </c>
      <c r="G30" s="116" t="s">
        <v>195</v>
      </c>
      <c r="H30" s="116" t="s">
        <v>195</v>
      </c>
      <c r="I30" s="116" t="s">
        <v>195</v>
      </c>
      <c r="J30" s="116" t="s">
        <v>195</v>
      </c>
      <c r="K30" s="427"/>
      <c r="M30" s="294"/>
      <c r="N30" s="294"/>
      <c r="O30" s="294"/>
      <c r="P30" s="294"/>
      <c r="Q30" s="294"/>
      <c r="R30" s="294"/>
      <c r="S30" s="294"/>
      <c r="T30" s="294"/>
      <c r="U30" s="294"/>
      <c r="V30" s="294"/>
    </row>
    <row r="31" spans="1:22" s="6" customFormat="1" ht="30.75" customHeight="1">
      <c r="A31" s="420" t="s">
        <v>39</v>
      </c>
      <c r="B31" s="397">
        <v>1042</v>
      </c>
      <c r="C31" s="116">
        <v>-4</v>
      </c>
      <c r="D31" s="116">
        <v>0</v>
      </c>
      <c r="E31" s="116" t="s">
        <v>195</v>
      </c>
      <c r="F31" s="116">
        <f t="shared" si="0"/>
        <v>0</v>
      </c>
      <c r="G31" s="116" t="s">
        <v>195</v>
      </c>
      <c r="H31" s="116" t="s">
        <v>195</v>
      </c>
      <c r="I31" s="116" t="s">
        <v>195</v>
      </c>
      <c r="J31" s="116" t="s">
        <v>195</v>
      </c>
      <c r="K31" s="427"/>
      <c r="M31" s="294"/>
      <c r="N31" s="294"/>
      <c r="O31" s="294"/>
      <c r="P31" s="294"/>
      <c r="Q31" s="294"/>
      <c r="R31" s="294"/>
      <c r="S31" s="294"/>
      <c r="T31" s="294"/>
      <c r="U31" s="294"/>
      <c r="V31" s="294"/>
    </row>
    <row r="32" spans="1:22" s="6" customFormat="1" ht="30.75" customHeight="1">
      <c r="A32" s="420" t="s">
        <v>55</v>
      </c>
      <c r="B32" s="397">
        <v>1043</v>
      </c>
      <c r="C32" s="116">
        <v>-46</v>
      </c>
      <c r="D32" s="116">
        <v>-60</v>
      </c>
      <c r="E32" s="116">
        <f t="shared" si="11"/>
        <v>-60</v>
      </c>
      <c r="F32" s="116">
        <f t="shared" si="0"/>
        <v>0</v>
      </c>
      <c r="G32" s="116" t="s">
        <v>195</v>
      </c>
      <c r="H32" s="116" t="s">
        <v>195</v>
      </c>
      <c r="I32" s="116" t="s">
        <v>195</v>
      </c>
      <c r="J32" s="116" t="s">
        <v>195</v>
      </c>
      <c r="K32" s="427"/>
      <c r="M32" s="294"/>
      <c r="N32" s="294"/>
      <c r="O32" s="294"/>
      <c r="P32" s="294"/>
      <c r="Q32" s="294"/>
      <c r="R32" s="294"/>
      <c r="S32" s="294"/>
      <c r="T32" s="294"/>
      <c r="U32" s="294"/>
      <c r="V32" s="294"/>
    </row>
    <row r="33" spans="1:22" s="6" customFormat="1" ht="30.75" customHeight="1">
      <c r="A33" s="420" t="s">
        <v>40</v>
      </c>
      <c r="B33" s="397">
        <v>1044</v>
      </c>
      <c r="C33" s="116">
        <v>-53</v>
      </c>
      <c r="D33" s="116">
        <v>0</v>
      </c>
      <c r="E33" s="116" t="s">
        <v>195</v>
      </c>
      <c r="F33" s="116">
        <f t="shared" si="0"/>
        <v>-68</v>
      </c>
      <c r="G33" s="116">
        <f>-17</f>
        <v>-17</v>
      </c>
      <c r="H33" s="116">
        <f t="shared" ref="H33:J33" si="15">-17</f>
        <v>-17</v>
      </c>
      <c r="I33" s="116">
        <f t="shared" si="15"/>
        <v>-17</v>
      </c>
      <c r="J33" s="116">
        <f t="shared" si="15"/>
        <v>-17</v>
      </c>
      <c r="K33" s="427"/>
      <c r="M33" s="294"/>
      <c r="N33" s="294"/>
      <c r="O33" s="294"/>
      <c r="P33" s="294"/>
      <c r="Q33" s="294"/>
      <c r="R33" s="294"/>
      <c r="S33" s="294"/>
      <c r="T33" s="294"/>
      <c r="U33" s="294"/>
      <c r="V33" s="294"/>
    </row>
    <row r="34" spans="1:22" s="6" customFormat="1" ht="30.75" customHeight="1">
      <c r="A34" s="420" t="s">
        <v>41</v>
      </c>
      <c r="B34" s="397">
        <v>1045</v>
      </c>
      <c r="C34" s="116" t="s">
        <v>195</v>
      </c>
      <c r="D34" s="116">
        <v>0</v>
      </c>
      <c r="E34" s="116" t="s">
        <v>195</v>
      </c>
      <c r="F34" s="116">
        <f t="shared" si="0"/>
        <v>0</v>
      </c>
      <c r="G34" s="116" t="s">
        <v>195</v>
      </c>
      <c r="H34" s="116" t="s">
        <v>195</v>
      </c>
      <c r="I34" s="116" t="s">
        <v>195</v>
      </c>
      <c r="J34" s="116" t="s">
        <v>195</v>
      </c>
      <c r="K34" s="427"/>
      <c r="M34" s="294"/>
      <c r="N34" s="294"/>
      <c r="O34" s="294"/>
      <c r="P34" s="294"/>
      <c r="Q34" s="294"/>
      <c r="R34" s="294"/>
      <c r="S34" s="294"/>
      <c r="T34" s="294"/>
      <c r="U34" s="294"/>
      <c r="V34" s="294"/>
    </row>
    <row r="35" spans="1:22" s="6" customFormat="1" ht="30.75" customHeight="1">
      <c r="A35" s="420" t="s">
        <v>42</v>
      </c>
      <c r="B35" s="397">
        <v>1046</v>
      </c>
      <c r="C35" s="116" t="s">
        <v>195</v>
      </c>
      <c r="D35" s="116">
        <v>0</v>
      </c>
      <c r="E35" s="116" t="s">
        <v>195</v>
      </c>
      <c r="F35" s="116">
        <f t="shared" si="0"/>
        <v>0</v>
      </c>
      <c r="G35" s="116" t="s">
        <v>195</v>
      </c>
      <c r="H35" s="116" t="s">
        <v>195</v>
      </c>
      <c r="I35" s="116" t="s">
        <v>195</v>
      </c>
      <c r="J35" s="116" t="s">
        <v>195</v>
      </c>
      <c r="K35" s="427"/>
      <c r="M35" s="294"/>
      <c r="N35" s="294"/>
      <c r="O35" s="294"/>
      <c r="P35" s="294"/>
      <c r="Q35" s="294"/>
      <c r="R35" s="294"/>
      <c r="S35" s="294"/>
      <c r="T35" s="294"/>
      <c r="U35" s="294"/>
      <c r="V35" s="294"/>
    </row>
    <row r="36" spans="1:22" s="6" customFormat="1" ht="30.75" customHeight="1">
      <c r="A36" s="420" t="s">
        <v>43</v>
      </c>
      <c r="B36" s="397">
        <v>1047</v>
      </c>
      <c r="C36" s="116">
        <v>-11</v>
      </c>
      <c r="D36" s="116">
        <v>0</v>
      </c>
      <c r="E36" s="116" t="s">
        <v>195</v>
      </c>
      <c r="F36" s="116">
        <f t="shared" si="0"/>
        <v>0</v>
      </c>
      <c r="G36" s="116" t="s">
        <v>195</v>
      </c>
      <c r="H36" s="116" t="s">
        <v>195</v>
      </c>
      <c r="I36" s="116" t="s">
        <v>195</v>
      </c>
      <c r="J36" s="116" t="s">
        <v>195</v>
      </c>
      <c r="K36" s="427"/>
      <c r="M36" s="294"/>
      <c r="N36" s="294"/>
      <c r="O36" s="294"/>
      <c r="P36" s="294"/>
      <c r="Q36" s="294"/>
      <c r="R36" s="294"/>
      <c r="S36" s="294"/>
      <c r="T36" s="294"/>
      <c r="U36" s="294"/>
      <c r="V36" s="294"/>
    </row>
    <row r="37" spans="1:22" s="6" customFormat="1" ht="51" customHeight="1">
      <c r="A37" s="420" t="s">
        <v>67</v>
      </c>
      <c r="B37" s="397">
        <v>1048</v>
      </c>
      <c r="C37" s="116">
        <v>-44</v>
      </c>
      <c r="D37" s="116">
        <v>-50</v>
      </c>
      <c r="E37" s="116">
        <v>-50</v>
      </c>
      <c r="F37" s="116">
        <f t="shared" si="0"/>
        <v>-40</v>
      </c>
      <c r="G37" s="116">
        <f>G38</f>
        <v>-10</v>
      </c>
      <c r="H37" s="116">
        <f t="shared" ref="H37:J37" si="16">H38</f>
        <v>-10</v>
      </c>
      <c r="I37" s="116">
        <f t="shared" si="16"/>
        <v>-10</v>
      </c>
      <c r="J37" s="116">
        <f t="shared" si="16"/>
        <v>-10</v>
      </c>
      <c r="K37" s="427"/>
      <c r="M37" s="294"/>
      <c r="N37" s="294"/>
      <c r="O37" s="294"/>
      <c r="P37" s="294"/>
      <c r="Q37" s="294"/>
      <c r="R37" s="294"/>
      <c r="S37" s="294"/>
      <c r="T37" s="294"/>
      <c r="U37" s="294"/>
      <c r="V37" s="294"/>
    </row>
    <row r="38" spans="1:22" s="6" customFormat="1" ht="30.75" customHeight="1">
      <c r="A38" s="420" t="s">
        <v>44</v>
      </c>
      <c r="B38" s="397" t="s">
        <v>386</v>
      </c>
      <c r="C38" s="116">
        <v>-44</v>
      </c>
      <c r="D38" s="116">
        <v>-50</v>
      </c>
      <c r="E38" s="116">
        <v>-50</v>
      </c>
      <c r="F38" s="116">
        <f t="shared" si="0"/>
        <v>-40</v>
      </c>
      <c r="G38" s="116">
        <f>-10</f>
        <v>-10</v>
      </c>
      <c r="H38" s="116">
        <f t="shared" ref="H38:J38" si="17">-10</f>
        <v>-10</v>
      </c>
      <c r="I38" s="116">
        <f t="shared" si="17"/>
        <v>-10</v>
      </c>
      <c r="J38" s="116">
        <f t="shared" si="17"/>
        <v>-10</v>
      </c>
      <c r="K38" s="427"/>
      <c r="M38" s="294"/>
      <c r="N38" s="294"/>
      <c r="O38" s="294"/>
      <c r="P38" s="294"/>
      <c r="Q38" s="294"/>
      <c r="R38" s="294"/>
      <c r="S38" s="294"/>
      <c r="T38" s="294"/>
      <c r="U38" s="294"/>
      <c r="V38" s="294"/>
    </row>
    <row r="39" spans="1:22" s="6" customFormat="1" ht="30.75" customHeight="1">
      <c r="A39" s="420" t="s">
        <v>88</v>
      </c>
      <c r="B39" s="397">
        <v>1049</v>
      </c>
      <c r="C39" s="116">
        <f>'Розшифровка до Формування'!C34</f>
        <v>-2239</v>
      </c>
      <c r="D39" s="116">
        <f>'Розшифровка до Формування'!D34</f>
        <v>-2120</v>
      </c>
      <c r="E39" s="116">
        <f>'Розшифровка до Формування'!E34</f>
        <v>-1954</v>
      </c>
      <c r="F39" s="116">
        <f t="shared" si="0"/>
        <v>-2220</v>
      </c>
      <c r="G39" s="116">
        <f>'Розшифровка до Формування'!G34</f>
        <v>-555</v>
      </c>
      <c r="H39" s="116">
        <f>'Розшифровка до Формування'!H34</f>
        <v>-555</v>
      </c>
      <c r="I39" s="116">
        <f>'Розшифровка до Формування'!I34</f>
        <v>-555</v>
      </c>
      <c r="J39" s="116">
        <f>'Розшифровка до Формування'!J34</f>
        <v>-555</v>
      </c>
      <c r="K39" s="427"/>
      <c r="M39" s="294"/>
      <c r="N39" s="294"/>
      <c r="O39" s="294"/>
      <c r="P39" s="294"/>
      <c r="Q39" s="294"/>
      <c r="R39" s="294"/>
      <c r="S39" s="294"/>
      <c r="T39" s="294"/>
      <c r="U39" s="294"/>
      <c r="V39" s="294"/>
    </row>
    <row r="40" spans="1:22" s="6" customFormat="1" ht="30.75" customHeight="1">
      <c r="A40" s="147" t="s">
        <v>149</v>
      </c>
      <c r="B40" s="413">
        <v>1060</v>
      </c>
      <c r="C40" s="117">
        <f>SUM(C41:C47)</f>
        <v>0</v>
      </c>
      <c r="D40" s="117">
        <f t="shared" ref="D40:J40" si="18">SUM(D41:D47)</f>
        <v>0</v>
      </c>
      <c r="E40" s="117">
        <f t="shared" si="18"/>
        <v>0</v>
      </c>
      <c r="F40" s="116">
        <f t="shared" si="0"/>
        <v>0</v>
      </c>
      <c r="G40" s="117">
        <f t="shared" si="18"/>
        <v>0</v>
      </c>
      <c r="H40" s="117">
        <f t="shared" si="18"/>
        <v>0</v>
      </c>
      <c r="I40" s="117">
        <f t="shared" si="18"/>
        <v>0</v>
      </c>
      <c r="J40" s="117">
        <f t="shared" si="18"/>
        <v>0</v>
      </c>
      <c r="K40" s="424"/>
      <c r="M40" s="294"/>
      <c r="N40" s="294"/>
      <c r="O40" s="294"/>
      <c r="P40" s="294"/>
      <c r="Q40" s="294"/>
      <c r="R40" s="294"/>
      <c r="S40" s="294"/>
      <c r="T40" s="294"/>
      <c r="U40" s="294"/>
      <c r="V40" s="294"/>
    </row>
    <row r="41" spans="1:22" s="6" customFormat="1" ht="30.75" customHeight="1">
      <c r="A41" s="420" t="s">
        <v>120</v>
      </c>
      <c r="B41" s="397">
        <v>1061</v>
      </c>
      <c r="C41" s="116" t="s">
        <v>195</v>
      </c>
      <c r="D41" s="116" t="s">
        <v>195</v>
      </c>
      <c r="E41" s="116" t="s">
        <v>195</v>
      </c>
      <c r="F41" s="116">
        <f t="shared" si="0"/>
        <v>0</v>
      </c>
      <c r="G41" s="116" t="s">
        <v>195</v>
      </c>
      <c r="H41" s="116" t="s">
        <v>195</v>
      </c>
      <c r="I41" s="116" t="s">
        <v>195</v>
      </c>
      <c r="J41" s="116" t="s">
        <v>195</v>
      </c>
      <c r="K41" s="427"/>
      <c r="M41" s="294"/>
      <c r="N41" s="294"/>
      <c r="O41" s="294"/>
      <c r="P41" s="294"/>
      <c r="Q41" s="294"/>
      <c r="R41" s="294"/>
      <c r="S41" s="294"/>
      <c r="T41" s="294"/>
      <c r="U41" s="294"/>
      <c r="V41" s="294"/>
    </row>
    <row r="42" spans="1:22" s="6" customFormat="1" ht="30.75" customHeight="1">
      <c r="A42" s="420" t="s">
        <v>121</v>
      </c>
      <c r="B42" s="397">
        <v>1062</v>
      </c>
      <c r="C42" s="116" t="s">
        <v>195</v>
      </c>
      <c r="D42" s="116" t="s">
        <v>195</v>
      </c>
      <c r="E42" s="116" t="s">
        <v>195</v>
      </c>
      <c r="F42" s="116">
        <f t="shared" si="0"/>
        <v>0</v>
      </c>
      <c r="G42" s="116" t="s">
        <v>195</v>
      </c>
      <c r="H42" s="116" t="s">
        <v>195</v>
      </c>
      <c r="I42" s="116" t="s">
        <v>195</v>
      </c>
      <c r="J42" s="116" t="s">
        <v>195</v>
      </c>
      <c r="K42" s="427"/>
      <c r="M42" s="294"/>
      <c r="N42" s="294"/>
      <c r="O42" s="294"/>
      <c r="P42" s="294"/>
      <c r="Q42" s="294"/>
      <c r="R42" s="294"/>
      <c r="S42" s="294"/>
      <c r="T42" s="294"/>
      <c r="U42" s="294"/>
      <c r="V42" s="294"/>
    </row>
    <row r="43" spans="1:22" s="6" customFormat="1" ht="30.75" customHeight="1">
      <c r="A43" s="420" t="s">
        <v>33</v>
      </c>
      <c r="B43" s="397">
        <v>1063</v>
      </c>
      <c r="C43" s="116" t="s">
        <v>195</v>
      </c>
      <c r="D43" s="116" t="s">
        <v>195</v>
      </c>
      <c r="E43" s="116" t="s">
        <v>195</v>
      </c>
      <c r="F43" s="116">
        <f t="shared" si="0"/>
        <v>0</v>
      </c>
      <c r="G43" s="116" t="s">
        <v>195</v>
      </c>
      <c r="H43" s="116" t="s">
        <v>195</v>
      </c>
      <c r="I43" s="116" t="s">
        <v>195</v>
      </c>
      <c r="J43" s="116" t="s">
        <v>195</v>
      </c>
      <c r="K43" s="427"/>
      <c r="M43" s="294"/>
      <c r="N43" s="294"/>
      <c r="O43" s="294"/>
      <c r="P43" s="294"/>
      <c r="Q43" s="294"/>
      <c r="R43" s="294"/>
      <c r="S43" s="294"/>
      <c r="T43" s="294"/>
      <c r="U43" s="294"/>
      <c r="V43" s="294"/>
    </row>
    <row r="44" spans="1:22" s="6" customFormat="1" ht="30.75" customHeight="1">
      <c r="A44" s="420" t="s">
        <v>34</v>
      </c>
      <c r="B44" s="397">
        <v>1064</v>
      </c>
      <c r="C44" s="116" t="s">
        <v>195</v>
      </c>
      <c r="D44" s="116" t="s">
        <v>195</v>
      </c>
      <c r="E44" s="116" t="s">
        <v>195</v>
      </c>
      <c r="F44" s="116">
        <f t="shared" si="0"/>
        <v>0</v>
      </c>
      <c r="G44" s="116" t="s">
        <v>195</v>
      </c>
      <c r="H44" s="116" t="s">
        <v>195</v>
      </c>
      <c r="I44" s="116" t="s">
        <v>195</v>
      </c>
      <c r="J44" s="116" t="s">
        <v>195</v>
      </c>
      <c r="K44" s="427"/>
      <c r="M44" s="294"/>
      <c r="N44" s="294"/>
      <c r="O44" s="294"/>
      <c r="P44" s="294"/>
      <c r="Q44" s="294"/>
      <c r="R44" s="294"/>
      <c r="S44" s="294"/>
      <c r="T44" s="294"/>
      <c r="U44" s="294"/>
      <c r="V44" s="294"/>
    </row>
    <row r="45" spans="1:22" s="6" customFormat="1" ht="30.75" customHeight="1">
      <c r="A45" s="420" t="s">
        <v>54</v>
      </c>
      <c r="B45" s="397">
        <v>1065</v>
      </c>
      <c r="C45" s="116" t="s">
        <v>195</v>
      </c>
      <c r="D45" s="116" t="s">
        <v>195</v>
      </c>
      <c r="E45" s="116" t="s">
        <v>195</v>
      </c>
      <c r="F45" s="116">
        <f t="shared" si="0"/>
        <v>0</v>
      </c>
      <c r="G45" s="116" t="s">
        <v>195</v>
      </c>
      <c r="H45" s="116" t="s">
        <v>195</v>
      </c>
      <c r="I45" s="116" t="s">
        <v>195</v>
      </c>
      <c r="J45" s="116" t="s">
        <v>195</v>
      </c>
      <c r="K45" s="427"/>
      <c r="M45" s="294"/>
      <c r="N45" s="294"/>
      <c r="O45" s="294"/>
      <c r="P45" s="294"/>
      <c r="Q45" s="294"/>
      <c r="R45" s="294"/>
      <c r="S45" s="294"/>
      <c r="T45" s="294"/>
      <c r="U45" s="294"/>
      <c r="V45" s="294"/>
    </row>
    <row r="46" spans="1:22" s="6" customFormat="1" ht="30.75" customHeight="1">
      <c r="A46" s="420" t="s">
        <v>70</v>
      </c>
      <c r="B46" s="397">
        <v>1066</v>
      </c>
      <c r="C46" s="116" t="s">
        <v>195</v>
      </c>
      <c r="D46" s="116" t="s">
        <v>195</v>
      </c>
      <c r="E46" s="116" t="s">
        <v>195</v>
      </c>
      <c r="F46" s="116">
        <f t="shared" si="0"/>
        <v>0</v>
      </c>
      <c r="G46" s="116" t="s">
        <v>195</v>
      </c>
      <c r="H46" s="116" t="s">
        <v>195</v>
      </c>
      <c r="I46" s="116" t="s">
        <v>195</v>
      </c>
      <c r="J46" s="116" t="s">
        <v>195</v>
      </c>
      <c r="K46" s="427"/>
      <c r="M46" s="294"/>
      <c r="N46" s="294"/>
      <c r="O46" s="294"/>
      <c r="P46" s="294"/>
      <c r="Q46" s="294"/>
      <c r="R46" s="294"/>
      <c r="S46" s="294"/>
      <c r="T46" s="294"/>
      <c r="U46" s="294"/>
      <c r="V46" s="294"/>
    </row>
    <row r="47" spans="1:22" s="6" customFormat="1" ht="30.75" customHeight="1">
      <c r="A47" s="420" t="s">
        <v>95</v>
      </c>
      <c r="B47" s="397">
        <v>1067</v>
      </c>
      <c r="C47" s="116" t="s">
        <v>195</v>
      </c>
      <c r="D47" s="116" t="s">
        <v>195</v>
      </c>
      <c r="E47" s="116" t="s">
        <v>195</v>
      </c>
      <c r="F47" s="116">
        <f t="shared" si="0"/>
        <v>0</v>
      </c>
      <c r="G47" s="116" t="s">
        <v>195</v>
      </c>
      <c r="H47" s="116" t="s">
        <v>195</v>
      </c>
      <c r="I47" s="116" t="s">
        <v>195</v>
      </c>
      <c r="J47" s="116" t="s">
        <v>195</v>
      </c>
      <c r="K47" s="427"/>
      <c r="M47" s="294"/>
      <c r="N47" s="294"/>
      <c r="O47" s="294"/>
      <c r="P47" s="294"/>
      <c r="Q47" s="294"/>
      <c r="R47" s="294"/>
      <c r="S47" s="294"/>
      <c r="T47" s="294"/>
      <c r="U47" s="294"/>
      <c r="V47" s="294"/>
    </row>
    <row r="48" spans="1:22" s="6" customFormat="1" ht="36" customHeight="1">
      <c r="A48" s="147" t="s">
        <v>239</v>
      </c>
      <c r="B48" s="413">
        <v>1070</v>
      </c>
      <c r="C48" s="117">
        <f>SUM(C49:C51)</f>
        <v>827</v>
      </c>
      <c r="D48" s="117">
        <f t="shared" ref="D48:J48" si="19">SUM(D49:D51)</f>
        <v>0</v>
      </c>
      <c r="E48" s="117">
        <f t="shared" si="19"/>
        <v>1043</v>
      </c>
      <c r="F48" s="116">
        <f t="shared" si="0"/>
        <v>0</v>
      </c>
      <c r="G48" s="117">
        <f t="shared" si="19"/>
        <v>0</v>
      </c>
      <c r="H48" s="117">
        <f t="shared" si="19"/>
        <v>0</v>
      </c>
      <c r="I48" s="117">
        <f t="shared" si="19"/>
        <v>0</v>
      </c>
      <c r="J48" s="117">
        <f t="shared" si="19"/>
        <v>0</v>
      </c>
      <c r="K48" s="424"/>
      <c r="M48" s="294"/>
      <c r="N48" s="294"/>
      <c r="O48" s="294"/>
      <c r="P48" s="294"/>
      <c r="Q48" s="294"/>
      <c r="R48" s="294"/>
      <c r="S48" s="294"/>
      <c r="T48" s="294"/>
      <c r="U48" s="294"/>
      <c r="V48" s="294"/>
    </row>
    <row r="49" spans="1:22" s="6" customFormat="1" ht="30.75" customHeight="1">
      <c r="A49" s="420" t="s">
        <v>145</v>
      </c>
      <c r="B49" s="397">
        <v>1071</v>
      </c>
      <c r="C49" s="116">
        <v>0</v>
      </c>
      <c r="D49" s="116">
        <v>0</v>
      </c>
      <c r="E49" s="117">
        <f t="shared" si="11"/>
        <v>0</v>
      </c>
      <c r="F49" s="116">
        <f t="shared" si="0"/>
        <v>0</v>
      </c>
      <c r="G49" s="116">
        <v>0</v>
      </c>
      <c r="H49" s="116">
        <v>0</v>
      </c>
      <c r="I49" s="116">
        <v>0</v>
      </c>
      <c r="J49" s="116">
        <v>0</v>
      </c>
      <c r="K49" s="427"/>
      <c r="M49" s="294"/>
      <c r="N49" s="294"/>
      <c r="O49" s="294"/>
      <c r="P49" s="294"/>
      <c r="Q49" s="294"/>
      <c r="R49" s="294"/>
      <c r="S49" s="294"/>
      <c r="T49" s="294"/>
      <c r="U49" s="294"/>
      <c r="V49" s="294"/>
    </row>
    <row r="50" spans="1:22" s="6" customFormat="1" ht="30.75" customHeight="1">
      <c r="A50" s="420" t="s">
        <v>240</v>
      </c>
      <c r="B50" s="397">
        <v>1072</v>
      </c>
      <c r="C50" s="116">
        <v>0</v>
      </c>
      <c r="D50" s="116">
        <v>0</v>
      </c>
      <c r="E50" s="117">
        <f t="shared" si="11"/>
        <v>0</v>
      </c>
      <c r="F50" s="116">
        <f t="shared" si="0"/>
        <v>0</v>
      </c>
      <c r="G50" s="116">
        <v>0</v>
      </c>
      <c r="H50" s="116">
        <v>0</v>
      </c>
      <c r="I50" s="116">
        <v>0</v>
      </c>
      <c r="J50" s="116">
        <v>0</v>
      </c>
      <c r="K50" s="427"/>
      <c r="M50" s="294"/>
      <c r="N50" s="294"/>
      <c r="O50" s="294"/>
      <c r="P50" s="294"/>
      <c r="Q50" s="294"/>
      <c r="R50" s="294"/>
      <c r="S50" s="294"/>
      <c r="T50" s="294"/>
      <c r="U50" s="294"/>
      <c r="V50" s="294"/>
    </row>
    <row r="51" spans="1:22" s="6" customFormat="1" ht="30.75" customHeight="1">
      <c r="A51" s="420" t="s">
        <v>241</v>
      </c>
      <c r="B51" s="397">
        <v>1073</v>
      </c>
      <c r="C51" s="116">
        <f>'Розшифровка до Формування'!C50</f>
        <v>827</v>
      </c>
      <c r="D51" s="116">
        <f>'Розшифровка до Формування'!D50</f>
        <v>0</v>
      </c>
      <c r="E51" s="116">
        <f>'Розшифровка до Формування'!E50</f>
        <v>1043</v>
      </c>
      <c r="F51" s="116">
        <f t="shared" si="0"/>
        <v>0</v>
      </c>
      <c r="G51" s="116">
        <f>'Розшифровка до Формування'!G50</f>
        <v>0</v>
      </c>
      <c r="H51" s="116">
        <f>'Розшифровка до Формування'!H50</f>
        <v>0</v>
      </c>
      <c r="I51" s="116">
        <f>'Розшифровка до Формування'!I50</f>
        <v>0</v>
      </c>
      <c r="J51" s="116">
        <f>'Розшифровка до Формування'!J50</f>
        <v>0</v>
      </c>
      <c r="K51" s="427"/>
      <c r="M51" s="294"/>
      <c r="N51" s="294"/>
      <c r="O51" s="294"/>
      <c r="P51" s="294"/>
      <c r="Q51" s="294"/>
      <c r="R51" s="294"/>
      <c r="S51" s="294"/>
      <c r="T51" s="294"/>
      <c r="U51" s="294"/>
      <c r="V51" s="294"/>
    </row>
    <row r="52" spans="1:22" s="6" customFormat="1" ht="36" customHeight="1">
      <c r="A52" s="147" t="s">
        <v>72</v>
      </c>
      <c r="B52" s="413">
        <v>1080</v>
      </c>
      <c r="C52" s="117">
        <f>SUM(C53:C58)</f>
        <v>-125</v>
      </c>
      <c r="D52" s="117">
        <f t="shared" ref="D52:J52" si="20">SUM(D53:D58)</f>
        <v>-36</v>
      </c>
      <c r="E52" s="117">
        <f t="shared" si="20"/>
        <v>-36</v>
      </c>
      <c r="F52" s="116">
        <f t="shared" si="0"/>
        <v>0</v>
      </c>
      <c r="G52" s="117">
        <f t="shared" si="20"/>
        <v>0</v>
      </c>
      <c r="H52" s="117">
        <f t="shared" si="20"/>
        <v>0</v>
      </c>
      <c r="I52" s="117">
        <f t="shared" si="20"/>
        <v>0</v>
      </c>
      <c r="J52" s="117">
        <f t="shared" si="20"/>
        <v>0</v>
      </c>
      <c r="K52" s="424"/>
      <c r="M52" s="294"/>
      <c r="N52" s="294"/>
      <c r="O52" s="294"/>
      <c r="P52" s="294"/>
      <c r="Q52" s="294"/>
      <c r="R52" s="294"/>
      <c r="S52" s="294"/>
      <c r="T52" s="294"/>
      <c r="U52" s="294"/>
      <c r="V52" s="294"/>
    </row>
    <row r="53" spans="1:22" s="6" customFormat="1" ht="30.75" customHeight="1">
      <c r="A53" s="420" t="s">
        <v>145</v>
      </c>
      <c r="B53" s="397">
        <v>1081</v>
      </c>
      <c r="C53" s="116" t="s">
        <v>195</v>
      </c>
      <c r="D53" s="116" t="s">
        <v>195</v>
      </c>
      <c r="E53" s="116" t="s">
        <v>195</v>
      </c>
      <c r="F53" s="116">
        <f t="shared" si="0"/>
        <v>0</v>
      </c>
      <c r="G53" s="116" t="s">
        <v>195</v>
      </c>
      <c r="H53" s="116" t="s">
        <v>195</v>
      </c>
      <c r="I53" s="116" t="s">
        <v>195</v>
      </c>
      <c r="J53" s="116" t="s">
        <v>195</v>
      </c>
      <c r="K53" s="427"/>
      <c r="M53" s="294"/>
      <c r="N53" s="294"/>
      <c r="O53" s="294"/>
      <c r="P53" s="294"/>
      <c r="Q53" s="294"/>
      <c r="R53" s="294"/>
      <c r="S53" s="294"/>
      <c r="T53" s="294"/>
      <c r="U53" s="294"/>
      <c r="V53" s="294"/>
    </row>
    <row r="54" spans="1:22" s="6" customFormat="1" ht="30.75" customHeight="1">
      <c r="A54" s="420" t="s">
        <v>242</v>
      </c>
      <c r="B54" s="397">
        <v>1082</v>
      </c>
      <c r="C54" s="116" t="s">
        <v>195</v>
      </c>
      <c r="D54" s="116" t="s">
        <v>195</v>
      </c>
      <c r="E54" s="116" t="s">
        <v>195</v>
      </c>
      <c r="F54" s="116">
        <f t="shared" si="0"/>
        <v>0</v>
      </c>
      <c r="G54" s="116" t="s">
        <v>195</v>
      </c>
      <c r="H54" s="116" t="s">
        <v>195</v>
      </c>
      <c r="I54" s="116" t="s">
        <v>195</v>
      </c>
      <c r="J54" s="116" t="s">
        <v>195</v>
      </c>
      <c r="K54" s="427"/>
      <c r="M54" s="294"/>
      <c r="N54" s="294"/>
      <c r="O54" s="294"/>
      <c r="P54" s="294"/>
      <c r="Q54" s="294"/>
      <c r="R54" s="294"/>
      <c r="S54" s="294"/>
      <c r="T54" s="294"/>
      <c r="U54" s="294"/>
      <c r="V54" s="294"/>
    </row>
    <row r="55" spans="1:22" s="6" customFormat="1" ht="30.75" customHeight="1">
      <c r="A55" s="420" t="s">
        <v>61</v>
      </c>
      <c r="B55" s="397">
        <v>1083</v>
      </c>
      <c r="C55" s="116" t="s">
        <v>195</v>
      </c>
      <c r="D55" s="116" t="s">
        <v>195</v>
      </c>
      <c r="E55" s="116" t="s">
        <v>195</v>
      </c>
      <c r="F55" s="116">
        <f t="shared" si="0"/>
        <v>0</v>
      </c>
      <c r="G55" s="116" t="s">
        <v>195</v>
      </c>
      <c r="H55" s="116" t="s">
        <v>195</v>
      </c>
      <c r="I55" s="116" t="s">
        <v>195</v>
      </c>
      <c r="J55" s="116" t="s">
        <v>195</v>
      </c>
      <c r="K55" s="427"/>
      <c r="M55" s="294"/>
      <c r="N55" s="294"/>
      <c r="O55" s="294"/>
      <c r="P55" s="294"/>
      <c r="Q55" s="294"/>
      <c r="R55" s="294"/>
      <c r="S55" s="294"/>
      <c r="T55" s="294"/>
      <c r="U55" s="294"/>
      <c r="V55" s="294"/>
    </row>
    <row r="56" spans="1:22" s="6" customFormat="1" ht="30.75" customHeight="1">
      <c r="A56" s="420" t="s">
        <v>45</v>
      </c>
      <c r="B56" s="397">
        <v>1084</v>
      </c>
      <c r="C56" s="116" t="s">
        <v>195</v>
      </c>
      <c r="D56" s="116" t="s">
        <v>195</v>
      </c>
      <c r="E56" s="116" t="s">
        <v>195</v>
      </c>
      <c r="F56" s="116">
        <f t="shared" si="0"/>
        <v>0</v>
      </c>
      <c r="G56" s="116" t="s">
        <v>195</v>
      </c>
      <c r="H56" s="116" t="s">
        <v>195</v>
      </c>
      <c r="I56" s="116" t="s">
        <v>195</v>
      </c>
      <c r="J56" s="116" t="s">
        <v>195</v>
      </c>
      <c r="K56" s="427"/>
      <c r="M56" s="294"/>
      <c r="N56" s="294"/>
      <c r="O56" s="294"/>
      <c r="P56" s="294"/>
      <c r="Q56" s="294"/>
      <c r="R56" s="294"/>
      <c r="S56" s="294"/>
      <c r="T56" s="294"/>
      <c r="U56" s="294"/>
      <c r="V56" s="294"/>
    </row>
    <row r="57" spans="1:22" s="6" customFormat="1" ht="30.75" customHeight="1">
      <c r="A57" s="420" t="s">
        <v>53</v>
      </c>
      <c r="B57" s="397">
        <v>1085</v>
      </c>
      <c r="C57" s="116" t="s">
        <v>195</v>
      </c>
      <c r="D57" s="116" t="s">
        <v>195</v>
      </c>
      <c r="E57" s="116" t="s">
        <v>195</v>
      </c>
      <c r="F57" s="116">
        <f t="shared" si="0"/>
        <v>0</v>
      </c>
      <c r="G57" s="116" t="s">
        <v>195</v>
      </c>
      <c r="H57" s="116" t="s">
        <v>195</v>
      </c>
      <c r="I57" s="116" t="s">
        <v>195</v>
      </c>
      <c r="J57" s="116" t="s">
        <v>195</v>
      </c>
      <c r="K57" s="427"/>
      <c r="M57" s="294"/>
      <c r="N57" s="294"/>
      <c r="O57" s="294"/>
      <c r="P57" s="294"/>
      <c r="Q57" s="294"/>
      <c r="R57" s="294"/>
      <c r="S57" s="294"/>
      <c r="T57" s="294"/>
      <c r="U57" s="294"/>
      <c r="V57" s="294"/>
    </row>
    <row r="58" spans="1:22" s="6" customFormat="1" ht="30.75" customHeight="1">
      <c r="A58" s="420" t="s">
        <v>158</v>
      </c>
      <c r="B58" s="397">
        <v>1086</v>
      </c>
      <c r="C58" s="116">
        <f>'Розшифровка до Формування'!C60</f>
        <v>-125</v>
      </c>
      <c r="D58" s="116">
        <f>'Розшифровка до Формування'!D60</f>
        <v>-36</v>
      </c>
      <c r="E58" s="116">
        <f>'Розшифровка до Формування'!E60</f>
        <v>-36</v>
      </c>
      <c r="F58" s="116">
        <f t="shared" si="0"/>
        <v>0</v>
      </c>
      <c r="G58" s="116">
        <f>'Розшифровка до Формування'!G60</f>
        <v>0</v>
      </c>
      <c r="H58" s="116">
        <f>'Розшифровка до Формування'!H60</f>
        <v>0</v>
      </c>
      <c r="I58" s="116">
        <f>'Розшифровка до Формування'!I60</f>
        <v>0</v>
      </c>
      <c r="J58" s="116">
        <f>'Розшифровка до Формування'!J60</f>
        <v>0</v>
      </c>
      <c r="K58" s="427"/>
      <c r="M58" s="294"/>
      <c r="N58" s="294"/>
      <c r="O58" s="294"/>
      <c r="P58" s="294"/>
      <c r="Q58" s="294"/>
      <c r="R58" s="294"/>
      <c r="S58" s="294"/>
      <c r="T58" s="294"/>
      <c r="U58" s="294"/>
      <c r="V58" s="294"/>
    </row>
    <row r="59" spans="1:22" s="418" customFormat="1" ht="33" customHeight="1">
      <c r="A59" s="147" t="s">
        <v>4</v>
      </c>
      <c r="B59" s="163">
        <v>1100</v>
      </c>
      <c r="C59" s="117">
        <f>SUM(C18,C19,C40,C48,C52)</f>
        <v>9000</v>
      </c>
      <c r="D59" s="117">
        <f t="shared" ref="D59:J59" si="21">SUM(D18,D19,D40,D48,D52)</f>
        <v>7002</v>
      </c>
      <c r="E59" s="117">
        <f t="shared" si="21"/>
        <v>7002</v>
      </c>
      <c r="F59" s="117">
        <f t="shared" si="0"/>
        <v>370</v>
      </c>
      <c r="G59" s="117">
        <f t="shared" si="21"/>
        <v>93</v>
      </c>
      <c r="H59" s="117">
        <f t="shared" si="21"/>
        <v>92</v>
      </c>
      <c r="I59" s="117">
        <f t="shared" si="21"/>
        <v>93</v>
      </c>
      <c r="J59" s="117">
        <f t="shared" si="21"/>
        <v>92</v>
      </c>
      <c r="K59" s="424"/>
      <c r="M59" s="294"/>
      <c r="N59" s="294"/>
      <c r="O59" s="294"/>
      <c r="P59" s="294"/>
      <c r="Q59" s="294"/>
      <c r="R59" s="294"/>
      <c r="S59" s="294"/>
      <c r="T59" s="294"/>
      <c r="U59" s="294"/>
      <c r="V59" s="294"/>
    </row>
    <row r="60" spans="1:22" s="6" customFormat="1" ht="30.75" customHeight="1">
      <c r="A60" s="420" t="s">
        <v>87</v>
      </c>
      <c r="B60" s="397">
        <v>1110</v>
      </c>
      <c r="C60" s="116"/>
      <c r="D60" s="116"/>
      <c r="E60" s="117">
        <f t="shared" si="11"/>
        <v>0</v>
      </c>
      <c r="F60" s="116">
        <f t="shared" si="0"/>
        <v>0</v>
      </c>
      <c r="G60" s="116"/>
      <c r="H60" s="116"/>
      <c r="I60" s="116"/>
      <c r="J60" s="116"/>
      <c r="K60" s="427"/>
      <c r="M60" s="294"/>
      <c r="N60" s="294"/>
      <c r="O60" s="294"/>
      <c r="P60" s="294"/>
      <c r="Q60" s="294"/>
      <c r="R60" s="294"/>
      <c r="S60" s="294"/>
      <c r="T60" s="294"/>
      <c r="U60" s="294"/>
      <c r="V60" s="294"/>
    </row>
    <row r="61" spans="1:22" s="6" customFormat="1" ht="30.75" customHeight="1">
      <c r="A61" s="420" t="s">
        <v>89</v>
      </c>
      <c r="B61" s="397">
        <v>1120</v>
      </c>
      <c r="C61" s="116" t="s">
        <v>195</v>
      </c>
      <c r="D61" s="116" t="s">
        <v>195</v>
      </c>
      <c r="E61" s="116" t="str">
        <f t="shared" si="11"/>
        <v>(    )</v>
      </c>
      <c r="F61" s="116">
        <f t="shared" si="0"/>
        <v>0</v>
      </c>
      <c r="G61" s="116" t="s">
        <v>195</v>
      </c>
      <c r="H61" s="116" t="s">
        <v>195</v>
      </c>
      <c r="I61" s="116" t="s">
        <v>195</v>
      </c>
      <c r="J61" s="116" t="s">
        <v>195</v>
      </c>
      <c r="K61" s="427"/>
      <c r="M61" s="294"/>
      <c r="N61" s="294"/>
      <c r="O61" s="294"/>
      <c r="P61" s="294"/>
      <c r="Q61" s="294"/>
      <c r="R61" s="294"/>
      <c r="S61" s="294"/>
      <c r="T61" s="294"/>
      <c r="U61" s="294"/>
      <c r="V61" s="294"/>
    </row>
    <row r="62" spans="1:22" s="6" customFormat="1" ht="36" customHeight="1">
      <c r="A62" s="147" t="s">
        <v>478</v>
      </c>
      <c r="B62" s="413">
        <v>1130</v>
      </c>
      <c r="C62" s="117"/>
      <c r="D62" s="117"/>
      <c r="E62" s="117">
        <f t="shared" si="11"/>
        <v>0</v>
      </c>
      <c r="F62" s="116">
        <f t="shared" si="0"/>
        <v>0</v>
      </c>
      <c r="G62" s="117"/>
      <c r="H62" s="117"/>
      <c r="I62" s="117"/>
      <c r="J62" s="117"/>
      <c r="K62" s="424"/>
      <c r="M62" s="294"/>
      <c r="N62" s="294"/>
      <c r="O62" s="294"/>
      <c r="P62" s="294"/>
      <c r="Q62" s="294"/>
      <c r="R62" s="294"/>
      <c r="S62" s="294"/>
      <c r="T62" s="294"/>
      <c r="U62" s="294"/>
      <c r="V62" s="294"/>
    </row>
    <row r="63" spans="1:22" s="6" customFormat="1" ht="42.75" customHeight="1">
      <c r="A63" s="147" t="s">
        <v>542</v>
      </c>
      <c r="B63" s="413">
        <v>1140</v>
      </c>
      <c r="C63" s="117">
        <v>-749</v>
      </c>
      <c r="D63" s="117">
        <v>-467</v>
      </c>
      <c r="E63" s="117">
        <f t="shared" si="11"/>
        <v>-467</v>
      </c>
      <c r="F63" s="117">
        <f t="shared" si="0"/>
        <v>-309</v>
      </c>
      <c r="G63" s="117">
        <f>-ROUND(кредити!Y145/1000,0)-7</f>
        <v>-91</v>
      </c>
      <c r="H63" s="117">
        <f>-ROUND(кредити!Y149/1000,0)-5</f>
        <v>-83</v>
      </c>
      <c r="I63" s="117">
        <f>-ROUND(кредити!Y153/1000,0)-4</f>
        <v>-73</v>
      </c>
      <c r="J63" s="117">
        <f>-ROUND(кредити!Y157/1000,0)-2</f>
        <v>-62</v>
      </c>
      <c r="K63" s="424"/>
      <c r="M63" s="294"/>
      <c r="N63" s="294"/>
      <c r="O63" s="294"/>
      <c r="P63" s="294"/>
      <c r="Q63" s="294"/>
      <c r="R63" s="294"/>
      <c r="S63" s="294"/>
      <c r="T63" s="294"/>
      <c r="U63" s="294"/>
      <c r="V63" s="294"/>
    </row>
    <row r="64" spans="1:22" s="6" customFormat="1" ht="36" customHeight="1">
      <c r="A64" s="147" t="s">
        <v>201</v>
      </c>
      <c r="B64" s="413">
        <v>1150</v>
      </c>
      <c r="C64" s="117">
        <f>SUM(C65:C66)</f>
        <v>538</v>
      </c>
      <c r="D64" s="117">
        <f t="shared" ref="D64:J64" si="22">SUM(D65:D66)</f>
        <v>540</v>
      </c>
      <c r="E64" s="117">
        <f t="shared" si="22"/>
        <v>540</v>
      </c>
      <c r="F64" s="117">
        <f t="shared" si="0"/>
        <v>540</v>
      </c>
      <c r="G64" s="117">
        <f t="shared" si="22"/>
        <v>135</v>
      </c>
      <c r="H64" s="117">
        <f t="shared" si="22"/>
        <v>135</v>
      </c>
      <c r="I64" s="117">
        <f t="shared" si="22"/>
        <v>135</v>
      </c>
      <c r="J64" s="117">
        <f t="shared" si="22"/>
        <v>135</v>
      </c>
      <c r="K64" s="424"/>
      <c r="M64" s="294"/>
      <c r="N64" s="294"/>
      <c r="O64" s="294"/>
      <c r="P64" s="294"/>
      <c r="Q64" s="294"/>
      <c r="R64" s="294"/>
      <c r="S64" s="294"/>
      <c r="T64" s="294"/>
      <c r="U64" s="294"/>
      <c r="V64" s="294"/>
    </row>
    <row r="65" spans="1:26" s="6" customFormat="1" ht="30.75" customHeight="1">
      <c r="A65" s="420" t="s">
        <v>145</v>
      </c>
      <c r="B65" s="397">
        <v>1151</v>
      </c>
      <c r="C65" s="116"/>
      <c r="D65" s="116"/>
      <c r="E65" s="117"/>
      <c r="F65" s="116">
        <f t="shared" si="0"/>
        <v>0</v>
      </c>
      <c r="G65" s="116"/>
      <c r="H65" s="116"/>
      <c r="I65" s="116"/>
      <c r="J65" s="116"/>
      <c r="K65" s="427"/>
      <c r="M65" s="294"/>
      <c r="N65" s="294"/>
      <c r="O65" s="294"/>
      <c r="P65" s="294"/>
      <c r="Q65" s="294"/>
      <c r="R65" s="294"/>
      <c r="S65" s="294"/>
      <c r="T65" s="294"/>
      <c r="U65" s="294"/>
      <c r="V65" s="294"/>
    </row>
    <row r="66" spans="1:26" s="6" customFormat="1" ht="30" customHeight="1">
      <c r="A66" s="420" t="s">
        <v>573</v>
      </c>
      <c r="B66" s="397">
        <v>1152</v>
      </c>
      <c r="C66" s="116">
        <f>'Розшифровка до Формування'!C70</f>
        <v>538</v>
      </c>
      <c r="D66" s="116">
        <f>'Розшифровка до Формування'!D70</f>
        <v>540</v>
      </c>
      <c r="E66" s="116">
        <f>'Розшифровка до Формування'!E70</f>
        <v>540</v>
      </c>
      <c r="F66" s="116">
        <f t="shared" si="0"/>
        <v>540</v>
      </c>
      <c r="G66" s="116">
        <f>'Розшифровка до Формування'!G70</f>
        <v>135</v>
      </c>
      <c r="H66" s="116">
        <f>'Розшифровка до Формування'!H70</f>
        <v>135</v>
      </c>
      <c r="I66" s="116">
        <f>'Розшифровка до Формування'!I70</f>
        <v>135</v>
      </c>
      <c r="J66" s="116">
        <f>'Розшифровка до Формування'!J70</f>
        <v>135</v>
      </c>
      <c r="K66" s="427"/>
      <c r="M66" s="294"/>
      <c r="N66" s="294"/>
      <c r="O66" s="294"/>
      <c r="P66" s="294"/>
      <c r="Q66" s="294"/>
      <c r="R66" s="294"/>
      <c r="S66" s="294"/>
      <c r="T66" s="294"/>
      <c r="U66" s="294"/>
      <c r="V66" s="294"/>
    </row>
    <row r="67" spans="1:26" s="6" customFormat="1" ht="36.75" customHeight="1">
      <c r="A67" s="147" t="s">
        <v>243</v>
      </c>
      <c r="B67" s="413">
        <v>1160</v>
      </c>
      <c r="C67" s="117">
        <f>SUM(C68:C69)</f>
        <v>-392</v>
      </c>
      <c r="D67" s="117">
        <f t="shared" ref="D67:J67" si="23">SUM(D68:D69)</f>
        <v>-48</v>
      </c>
      <c r="E67" s="117">
        <f t="shared" si="23"/>
        <v>-48</v>
      </c>
      <c r="F67" s="117">
        <f t="shared" si="0"/>
        <v>-52</v>
      </c>
      <c r="G67" s="117">
        <f t="shared" si="23"/>
        <v>-13</v>
      </c>
      <c r="H67" s="117">
        <f t="shared" si="23"/>
        <v>-13</v>
      </c>
      <c r="I67" s="117">
        <f t="shared" si="23"/>
        <v>-13</v>
      </c>
      <c r="J67" s="117">
        <f t="shared" si="23"/>
        <v>-13</v>
      </c>
      <c r="K67" s="424"/>
      <c r="L67" s="431" t="s">
        <v>716</v>
      </c>
      <c r="M67" s="294"/>
      <c r="N67" s="294"/>
      <c r="O67" s="294"/>
      <c r="P67" s="294"/>
      <c r="Q67" s="294"/>
      <c r="R67" s="294"/>
      <c r="S67" s="294"/>
      <c r="T67" s="294"/>
      <c r="U67" s="294"/>
      <c r="V67" s="294"/>
    </row>
    <row r="68" spans="1:26" s="6" customFormat="1" ht="30.75" customHeight="1">
      <c r="A68" s="420" t="s">
        <v>145</v>
      </c>
      <c r="B68" s="397">
        <v>1161</v>
      </c>
      <c r="C68" s="116" t="s">
        <v>195</v>
      </c>
      <c r="D68" s="116" t="s">
        <v>195</v>
      </c>
      <c r="E68" s="116" t="str">
        <f t="shared" si="11"/>
        <v>(    )</v>
      </c>
      <c r="F68" s="116">
        <f t="shared" si="0"/>
        <v>0</v>
      </c>
      <c r="G68" s="116" t="s">
        <v>195</v>
      </c>
      <c r="H68" s="116" t="s">
        <v>195</v>
      </c>
      <c r="I68" s="116" t="s">
        <v>195</v>
      </c>
      <c r="J68" s="116" t="s">
        <v>195</v>
      </c>
      <c r="K68" s="427"/>
      <c r="M68" s="294"/>
      <c r="N68" s="294"/>
      <c r="O68" s="294"/>
      <c r="P68" s="294"/>
      <c r="Q68" s="294"/>
      <c r="R68" s="294"/>
      <c r="S68" s="294"/>
      <c r="T68" s="294"/>
      <c r="U68" s="294"/>
      <c r="V68" s="294"/>
    </row>
    <row r="69" spans="1:26" s="6" customFormat="1" ht="30.75" customHeight="1">
      <c r="A69" s="420" t="s">
        <v>94</v>
      </c>
      <c r="B69" s="397">
        <v>1162</v>
      </c>
      <c r="C69" s="116">
        <f>'Розшифровка до Формування'!C75</f>
        <v>-392</v>
      </c>
      <c r="D69" s="116">
        <f>'Розшифровка до Формування'!D75</f>
        <v>-48</v>
      </c>
      <c r="E69" s="116">
        <f>'Розшифровка до Формування'!E75</f>
        <v>-48</v>
      </c>
      <c r="F69" s="116">
        <f t="shared" si="0"/>
        <v>-52</v>
      </c>
      <c r="G69" s="116">
        <f>'Розшифровка до Формування'!G75</f>
        <v>-13</v>
      </c>
      <c r="H69" s="116">
        <f>'Розшифровка до Формування'!H75</f>
        <v>-13</v>
      </c>
      <c r="I69" s="116">
        <f>'Розшифровка до Формування'!I75</f>
        <v>-13</v>
      </c>
      <c r="J69" s="116">
        <f>'Розшифровка до Формування'!J75</f>
        <v>-13</v>
      </c>
      <c r="K69" s="427"/>
      <c r="L69" s="431" t="s">
        <v>716</v>
      </c>
      <c r="M69" s="294"/>
      <c r="N69" s="294"/>
      <c r="O69" s="294"/>
      <c r="P69" s="294"/>
      <c r="Q69" s="294"/>
      <c r="R69" s="294"/>
      <c r="S69" s="294"/>
      <c r="T69" s="294"/>
      <c r="U69" s="294"/>
      <c r="V69" s="294"/>
    </row>
    <row r="70" spans="1:26" s="418" customFormat="1" ht="35.25" customHeight="1">
      <c r="A70" s="147" t="s">
        <v>78</v>
      </c>
      <c r="B70" s="163">
        <v>1170</v>
      </c>
      <c r="C70" s="117">
        <f>SUM(C59,C60,C61,C62,C63,C64,C67)</f>
        <v>8397</v>
      </c>
      <c r="D70" s="117">
        <f t="shared" ref="D70:J70" si="24">SUM(D59,D60,D61,D62,D63,D64,D67)</f>
        <v>7027</v>
      </c>
      <c r="E70" s="117">
        <f t="shared" si="24"/>
        <v>7027</v>
      </c>
      <c r="F70" s="117">
        <f t="shared" si="0"/>
        <v>549</v>
      </c>
      <c r="G70" s="117">
        <f t="shared" si="24"/>
        <v>124</v>
      </c>
      <c r="H70" s="117">
        <f t="shared" si="24"/>
        <v>131</v>
      </c>
      <c r="I70" s="117">
        <f t="shared" si="24"/>
        <v>142</v>
      </c>
      <c r="J70" s="117">
        <f t="shared" si="24"/>
        <v>152</v>
      </c>
      <c r="K70" s="424"/>
      <c r="L70" s="431" t="s">
        <v>716</v>
      </c>
      <c r="M70" s="294"/>
      <c r="N70" s="294"/>
      <c r="O70" s="294"/>
      <c r="P70" s="294"/>
      <c r="Q70" s="294"/>
      <c r="R70" s="294"/>
      <c r="S70" s="294"/>
      <c r="T70" s="294"/>
      <c r="U70" s="294"/>
      <c r="V70" s="294"/>
    </row>
    <row r="71" spans="1:26" s="6" customFormat="1" ht="30.75" customHeight="1">
      <c r="A71" s="420" t="s">
        <v>204</v>
      </c>
      <c r="B71" s="397">
        <v>1180</v>
      </c>
      <c r="C71" s="116">
        <v>-1516</v>
      </c>
      <c r="D71" s="116">
        <v>-1265</v>
      </c>
      <c r="E71" s="116">
        <f>-ROUND(E70*0.18,0)</f>
        <v>-1265</v>
      </c>
      <c r="F71" s="116">
        <f t="shared" si="0"/>
        <v>-99</v>
      </c>
      <c r="G71" s="116">
        <f>-ROUND(G70*0.18,0)</f>
        <v>-22</v>
      </c>
      <c r="H71" s="116">
        <f t="shared" ref="H71:J71" si="25">-ROUND(H70*0.18,0)</f>
        <v>-24</v>
      </c>
      <c r="I71" s="116">
        <f t="shared" si="25"/>
        <v>-26</v>
      </c>
      <c r="J71" s="116">
        <f t="shared" si="25"/>
        <v>-27</v>
      </c>
      <c r="K71" s="427"/>
      <c r="M71" s="294"/>
      <c r="N71" s="294"/>
      <c r="O71" s="294"/>
      <c r="P71" s="294"/>
      <c r="Q71" s="294"/>
      <c r="R71" s="294"/>
      <c r="S71" s="294"/>
      <c r="T71" s="294"/>
      <c r="U71" s="294"/>
      <c r="V71" s="294"/>
    </row>
    <row r="72" spans="1:26" s="6" customFormat="1" ht="30.75" customHeight="1">
      <c r="A72" s="420" t="s">
        <v>205</v>
      </c>
      <c r="B72" s="397">
        <v>1181</v>
      </c>
      <c r="C72" s="116"/>
      <c r="D72" s="116"/>
      <c r="E72" s="117">
        <f t="shared" si="11"/>
        <v>0</v>
      </c>
      <c r="F72" s="116">
        <f t="shared" si="0"/>
        <v>0</v>
      </c>
      <c r="G72" s="116"/>
      <c r="H72" s="116"/>
      <c r="I72" s="116"/>
      <c r="J72" s="116"/>
      <c r="K72" s="427"/>
      <c r="M72" s="294"/>
      <c r="N72" s="294"/>
      <c r="O72" s="294"/>
      <c r="P72" s="294"/>
      <c r="Q72" s="294"/>
      <c r="R72" s="294"/>
      <c r="S72" s="294"/>
      <c r="T72" s="294"/>
      <c r="U72" s="294"/>
      <c r="V72" s="294"/>
    </row>
    <row r="73" spans="1:26" s="6" customFormat="1" ht="30.75" customHeight="1">
      <c r="A73" s="420" t="s">
        <v>206</v>
      </c>
      <c r="B73" s="397">
        <v>1190</v>
      </c>
      <c r="C73" s="116"/>
      <c r="D73" s="116"/>
      <c r="E73" s="117">
        <f t="shared" ref="E73:E86" si="26">D73</f>
        <v>0</v>
      </c>
      <c r="F73" s="116">
        <f t="shared" si="0"/>
        <v>0</v>
      </c>
      <c r="G73" s="116"/>
      <c r="H73" s="116"/>
      <c r="I73" s="116"/>
      <c r="J73" s="116"/>
      <c r="K73" s="427"/>
      <c r="M73" s="294"/>
      <c r="N73" s="294"/>
      <c r="O73" s="294"/>
      <c r="P73" s="294"/>
      <c r="Q73" s="294"/>
      <c r="R73" s="294"/>
      <c r="S73" s="294"/>
      <c r="T73" s="294"/>
      <c r="U73" s="294"/>
      <c r="V73" s="294"/>
    </row>
    <row r="74" spans="1:26" s="6" customFormat="1" ht="30.75" customHeight="1">
      <c r="A74" s="420" t="s">
        <v>207</v>
      </c>
      <c r="B74" s="397">
        <v>1191</v>
      </c>
      <c r="C74" s="116" t="s">
        <v>195</v>
      </c>
      <c r="D74" s="116" t="s">
        <v>195</v>
      </c>
      <c r="E74" s="116" t="str">
        <f t="shared" si="26"/>
        <v>(    )</v>
      </c>
      <c r="F74" s="116">
        <f t="shared" ref="F74:F95" si="27">SUM(G74:J74)</f>
        <v>0</v>
      </c>
      <c r="G74" s="116" t="s">
        <v>195</v>
      </c>
      <c r="H74" s="116" t="s">
        <v>195</v>
      </c>
      <c r="I74" s="116" t="s">
        <v>195</v>
      </c>
      <c r="J74" s="116" t="s">
        <v>195</v>
      </c>
      <c r="K74" s="427"/>
      <c r="M74" s="294"/>
      <c r="N74" s="294"/>
      <c r="O74" s="294"/>
      <c r="P74" s="294"/>
      <c r="Q74" s="294"/>
      <c r="R74" s="294"/>
      <c r="S74" s="294"/>
      <c r="T74" s="294"/>
      <c r="U74" s="294"/>
      <c r="V74" s="294"/>
    </row>
    <row r="75" spans="1:26" s="6" customFormat="1" ht="36" customHeight="1">
      <c r="A75" s="147" t="s">
        <v>288</v>
      </c>
      <c r="B75" s="413">
        <v>1200</v>
      </c>
      <c r="C75" s="117">
        <f>SUM(C70,C71,C72,C73,C74)</f>
        <v>6881</v>
      </c>
      <c r="D75" s="117">
        <f t="shared" ref="D75:E75" si="28">SUM(D70,D71,D72,D73,D74)</f>
        <v>5762</v>
      </c>
      <c r="E75" s="117">
        <f t="shared" si="28"/>
        <v>5762</v>
      </c>
      <c r="F75" s="117">
        <f t="shared" si="27"/>
        <v>450</v>
      </c>
      <c r="G75" s="117">
        <f>SUM(G70,G71,G72,G73,G74)</f>
        <v>102</v>
      </c>
      <c r="H75" s="117">
        <f t="shared" ref="H75" si="29">SUM(H70,H71,H72,H73,H74)</f>
        <v>107</v>
      </c>
      <c r="I75" s="117">
        <f t="shared" ref="I75" si="30">SUM(I70,I71,I72,I73,I74)</f>
        <v>116</v>
      </c>
      <c r="J75" s="117">
        <f t="shared" ref="J75" si="31">SUM(J70,J71,J72,J73,J74)</f>
        <v>125</v>
      </c>
      <c r="K75" s="424"/>
      <c r="L75" s="431" t="s">
        <v>716</v>
      </c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</row>
    <row r="76" spans="1:26" s="6" customFormat="1" ht="30.75" customHeight="1">
      <c r="A76" s="420" t="s">
        <v>23</v>
      </c>
      <c r="B76" s="397">
        <v>1201</v>
      </c>
      <c r="C76" s="116">
        <f>C75</f>
        <v>6881</v>
      </c>
      <c r="D76" s="116">
        <f t="shared" ref="D76:E76" si="32">D75</f>
        <v>5762</v>
      </c>
      <c r="E76" s="116">
        <f t="shared" si="32"/>
        <v>5762</v>
      </c>
      <c r="F76" s="116">
        <f t="shared" si="27"/>
        <v>450</v>
      </c>
      <c r="G76" s="116">
        <f t="shared" ref="G76" si="33">G75</f>
        <v>102</v>
      </c>
      <c r="H76" s="116">
        <f t="shared" ref="H76" si="34">H75</f>
        <v>107</v>
      </c>
      <c r="I76" s="116">
        <f t="shared" ref="I76" si="35">I75</f>
        <v>116</v>
      </c>
      <c r="J76" s="116">
        <f t="shared" ref="J76" si="36">J75</f>
        <v>125</v>
      </c>
      <c r="K76" s="427"/>
      <c r="M76" s="294"/>
      <c r="N76" s="294"/>
      <c r="O76" s="294"/>
      <c r="P76" s="294"/>
      <c r="Q76" s="294"/>
      <c r="R76" s="294"/>
      <c r="S76" s="294"/>
      <c r="T76" s="294"/>
      <c r="U76" s="294"/>
      <c r="V76" s="294"/>
    </row>
    <row r="77" spans="1:26" s="6" customFormat="1" ht="30.75" customHeight="1">
      <c r="A77" s="420" t="s">
        <v>24</v>
      </c>
      <c r="B77" s="397">
        <v>1202</v>
      </c>
      <c r="C77" s="116" t="s">
        <v>195</v>
      </c>
      <c r="D77" s="116" t="s">
        <v>195</v>
      </c>
      <c r="E77" s="116" t="str">
        <f t="shared" si="26"/>
        <v>(    )</v>
      </c>
      <c r="F77" s="116">
        <f t="shared" si="27"/>
        <v>0</v>
      </c>
      <c r="G77" s="116" t="s">
        <v>195</v>
      </c>
      <c r="H77" s="116" t="s">
        <v>195</v>
      </c>
      <c r="I77" s="116" t="s">
        <v>195</v>
      </c>
      <c r="J77" s="116" t="s">
        <v>195</v>
      </c>
      <c r="K77" s="427"/>
      <c r="M77" s="294"/>
      <c r="N77" s="294"/>
      <c r="O77" s="294"/>
      <c r="P77" s="294"/>
      <c r="Q77" s="294"/>
      <c r="R77" s="294"/>
      <c r="S77" s="294"/>
      <c r="T77" s="294"/>
      <c r="U77" s="294"/>
      <c r="V77" s="294"/>
    </row>
    <row r="78" spans="1:26" s="6" customFormat="1" ht="36.75" customHeight="1">
      <c r="A78" s="147" t="s">
        <v>18</v>
      </c>
      <c r="B78" s="413">
        <v>1210</v>
      </c>
      <c r="C78" s="117">
        <f>SUM(C8,C48,C60,C62,C64,C72,C73)</f>
        <v>150536</v>
      </c>
      <c r="D78" s="117">
        <f t="shared" ref="D78:J78" si="37">SUM(D8,D48,D60,D62,D64,D72,D73)</f>
        <v>149752</v>
      </c>
      <c r="E78" s="117">
        <f t="shared" si="37"/>
        <v>153713</v>
      </c>
      <c r="F78" s="117">
        <f t="shared" si="27"/>
        <v>155868</v>
      </c>
      <c r="G78" s="117">
        <f>SUM(G8,G48,G60,G62,G64,G72,G73)</f>
        <v>38967</v>
      </c>
      <c r="H78" s="117">
        <f t="shared" si="37"/>
        <v>38967</v>
      </c>
      <c r="I78" s="117">
        <f t="shared" si="37"/>
        <v>38967</v>
      </c>
      <c r="J78" s="117">
        <f t="shared" si="37"/>
        <v>38967</v>
      </c>
      <c r="K78" s="424"/>
      <c r="M78" s="294"/>
      <c r="N78" s="294"/>
      <c r="O78" s="294"/>
      <c r="P78" s="294"/>
      <c r="Q78" s="294"/>
      <c r="R78" s="294"/>
      <c r="S78" s="294"/>
      <c r="T78" s="294"/>
      <c r="U78" s="294"/>
      <c r="V78" s="294"/>
    </row>
    <row r="79" spans="1:26" s="6" customFormat="1" ht="36.75" customHeight="1">
      <c r="A79" s="147" t="s">
        <v>92</v>
      </c>
      <c r="B79" s="413">
        <v>1220</v>
      </c>
      <c r="C79" s="117">
        <f>SUM(C9,C19,C40,C52,C61,C63,C67,C71,C74)</f>
        <v>-143655</v>
      </c>
      <c r="D79" s="117">
        <f t="shared" ref="D79:J79" si="38">SUM(D9,D19,D40,D52,D61,D63,D67,D71,D74)</f>
        <v>-143990</v>
      </c>
      <c r="E79" s="117">
        <f t="shared" si="38"/>
        <v>-147951</v>
      </c>
      <c r="F79" s="117">
        <f t="shared" si="27"/>
        <v>-155418</v>
      </c>
      <c r="G79" s="117">
        <f t="shared" si="38"/>
        <v>-38865</v>
      </c>
      <c r="H79" s="117">
        <f t="shared" si="38"/>
        <v>-38860</v>
      </c>
      <c r="I79" s="117">
        <f t="shared" si="38"/>
        <v>-38851</v>
      </c>
      <c r="J79" s="117">
        <f t="shared" si="38"/>
        <v>-38842</v>
      </c>
      <c r="K79" s="424"/>
      <c r="L79" s="431" t="s">
        <v>716</v>
      </c>
      <c r="M79" s="294"/>
      <c r="N79" s="294"/>
      <c r="O79" s="294"/>
      <c r="P79" s="294"/>
      <c r="Q79" s="294"/>
      <c r="R79" s="294"/>
      <c r="S79" s="294"/>
      <c r="T79" s="294"/>
      <c r="U79" s="294"/>
      <c r="V79" s="294"/>
    </row>
    <row r="80" spans="1:26" s="6" customFormat="1" ht="30.75" customHeight="1">
      <c r="A80" s="420" t="s">
        <v>159</v>
      </c>
      <c r="B80" s="397">
        <v>1230</v>
      </c>
      <c r="C80" s="116"/>
      <c r="D80" s="116"/>
      <c r="E80" s="117">
        <f t="shared" si="26"/>
        <v>0</v>
      </c>
      <c r="F80" s="116">
        <f t="shared" si="27"/>
        <v>0</v>
      </c>
      <c r="G80" s="116"/>
      <c r="H80" s="116"/>
      <c r="I80" s="116"/>
      <c r="J80" s="116"/>
      <c r="K80" s="427"/>
      <c r="M80" s="294"/>
      <c r="N80" s="294"/>
      <c r="O80" s="294"/>
      <c r="P80" s="294"/>
      <c r="Q80" s="294"/>
      <c r="R80" s="294"/>
      <c r="S80" s="294"/>
      <c r="T80" s="294"/>
      <c r="U80" s="294"/>
      <c r="V80" s="294"/>
    </row>
    <row r="81" spans="1:22" s="6" customFormat="1" ht="33" customHeight="1">
      <c r="A81" s="147" t="s">
        <v>114</v>
      </c>
      <c r="B81" s="413"/>
      <c r="C81" s="117"/>
      <c r="D81" s="117"/>
      <c r="E81" s="117"/>
      <c r="F81" s="117"/>
      <c r="G81" s="117"/>
      <c r="H81" s="117"/>
      <c r="I81" s="117"/>
      <c r="J81" s="117"/>
      <c r="K81" s="424"/>
      <c r="M81" s="294"/>
      <c r="N81" s="294"/>
      <c r="O81" s="294"/>
      <c r="P81" s="294"/>
      <c r="Q81" s="294"/>
      <c r="R81" s="294"/>
      <c r="S81" s="294"/>
      <c r="T81" s="294"/>
      <c r="U81" s="294"/>
      <c r="V81" s="294"/>
    </row>
    <row r="82" spans="1:22" s="6" customFormat="1" ht="30.75" customHeight="1">
      <c r="A82" s="420" t="s">
        <v>244</v>
      </c>
      <c r="B82" s="397">
        <v>1300</v>
      </c>
      <c r="C82" s="116">
        <f>C59</f>
        <v>9000</v>
      </c>
      <c r="D82" s="116">
        <f t="shared" ref="D82:J82" si="39">D59</f>
        <v>7002</v>
      </c>
      <c r="E82" s="116">
        <f t="shared" si="39"/>
        <v>7002</v>
      </c>
      <c r="F82" s="116">
        <f t="shared" si="27"/>
        <v>370</v>
      </c>
      <c r="G82" s="116">
        <f t="shared" si="39"/>
        <v>93</v>
      </c>
      <c r="H82" s="116">
        <f t="shared" si="39"/>
        <v>92</v>
      </c>
      <c r="I82" s="116">
        <f t="shared" si="39"/>
        <v>93</v>
      </c>
      <c r="J82" s="116">
        <f t="shared" si="39"/>
        <v>92</v>
      </c>
      <c r="K82" s="427"/>
      <c r="M82" s="294"/>
      <c r="N82" s="294"/>
      <c r="O82" s="294"/>
      <c r="P82" s="294"/>
      <c r="Q82" s="294"/>
      <c r="R82" s="294"/>
      <c r="S82" s="294"/>
      <c r="T82" s="294"/>
      <c r="U82" s="294"/>
      <c r="V82" s="294"/>
    </row>
    <row r="83" spans="1:22" s="6" customFormat="1" ht="30.75" customHeight="1">
      <c r="A83" s="420" t="s">
        <v>269</v>
      </c>
      <c r="B83" s="397">
        <v>1301</v>
      </c>
      <c r="C83" s="116">
        <f>C93</f>
        <v>8657</v>
      </c>
      <c r="D83" s="116">
        <f t="shared" ref="D83:J83" si="40">D93</f>
        <v>8192</v>
      </c>
      <c r="E83" s="116">
        <f t="shared" si="40"/>
        <v>10088</v>
      </c>
      <c r="F83" s="116">
        <f t="shared" si="27"/>
        <v>9152</v>
      </c>
      <c r="G83" s="116">
        <f t="shared" si="40"/>
        <v>2288</v>
      </c>
      <c r="H83" s="116">
        <f t="shared" si="40"/>
        <v>2288</v>
      </c>
      <c r="I83" s="116">
        <f t="shared" si="40"/>
        <v>2288</v>
      </c>
      <c r="J83" s="116">
        <f t="shared" si="40"/>
        <v>2288</v>
      </c>
      <c r="K83" s="427"/>
      <c r="M83" s="294"/>
      <c r="N83" s="294"/>
      <c r="O83" s="294"/>
      <c r="P83" s="294"/>
      <c r="Q83" s="294"/>
      <c r="R83" s="294"/>
      <c r="S83" s="294"/>
      <c r="T83" s="294"/>
      <c r="U83" s="294"/>
      <c r="V83" s="294"/>
    </row>
    <row r="84" spans="1:22" s="6" customFormat="1" ht="30.75" customHeight="1">
      <c r="A84" s="420" t="s">
        <v>270</v>
      </c>
      <c r="B84" s="397">
        <v>1302</v>
      </c>
      <c r="C84" s="116">
        <f>C49</f>
        <v>0</v>
      </c>
      <c r="D84" s="116">
        <f t="shared" ref="D84:J84" si="41">D49</f>
        <v>0</v>
      </c>
      <c r="E84" s="117">
        <f t="shared" si="26"/>
        <v>0</v>
      </c>
      <c r="F84" s="116">
        <f t="shared" si="27"/>
        <v>0</v>
      </c>
      <c r="G84" s="116">
        <f t="shared" si="41"/>
        <v>0</v>
      </c>
      <c r="H84" s="116">
        <f t="shared" si="41"/>
        <v>0</v>
      </c>
      <c r="I84" s="116">
        <f t="shared" si="41"/>
        <v>0</v>
      </c>
      <c r="J84" s="116">
        <f t="shared" si="41"/>
        <v>0</v>
      </c>
      <c r="K84" s="427"/>
      <c r="M84" s="294"/>
      <c r="N84" s="294"/>
      <c r="O84" s="294"/>
      <c r="P84" s="294"/>
      <c r="Q84" s="294"/>
      <c r="R84" s="294"/>
      <c r="S84" s="294"/>
      <c r="T84" s="294"/>
      <c r="U84" s="294"/>
      <c r="V84" s="294"/>
    </row>
    <row r="85" spans="1:22" s="6" customFormat="1" ht="30.75" customHeight="1">
      <c r="A85" s="420" t="s">
        <v>271</v>
      </c>
      <c r="B85" s="397">
        <v>1303</v>
      </c>
      <c r="C85" s="116"/>
      <c r="D85" s="116"/>
      <c r="E85" s="116"/>
      <c r="F85" s="116">
        <f t="shared" si="27"/>
        <v>0</v>
      </c>
      <c r="G85" s="116"/>
      <c r="H85" s="116"/>
      <c r="I85" s="116"/>
      <c r="J85" s="116"/>
      <c r="K85" s="427"/>
      <c r="M85" s="294"/>
      <c r="N85" s="294"/>
      <c r="O85" s="294"/>
      <c r="P85" s="294"/>
      <c r="Q85" s="294"/>
      <c r="R85" s="294"/>
      <c r="S85" s="294"/>
      <c r="T85" s="294"/>
      <c r="U85" s="294"/>
      <c r="V85" s="294"/>
    </row>
    <row r="86" spans="1:22" s="6" customFormat="1" ht="30.75" customHeight="1">
      <c r="A86" s="420" t="s">
        <v>272</v>
      </c>
      <c r="B86" s="397">
        <v>1304</v>
      </c>
      <c r="C86" s="116">
        <f>C50</f>
        <v>0</v>
      </c>
      <c r="D86" s="116">
        <f t="shared" ref="D86:J86" si="42">D50</f>
        <v>0</v>
      </c>
      <c r="E86" s="116">
        <f t="shared" si="26"/>
        <v>0</v>
      </c>
      <c r="F86" s="116">
        <f t="shared" si="27"/>
        <v>0</v>
      </c>
      <c r="G86" s="116">
        <f t="shared" si="42"/>
        <v>0</v>
      </c>
      <c r="H86" s="116">
        <f t="shared" si="42"/>
        <v>0</v>
      </c>
      <c r="I86" s="116">
        <f t="shared" si="42"/>
        <v>0</v>
      </c>
      <c r="J86" s="116">
        <f t="shared" si="42"/>
        <v>0</v>
      </c>
      <c r="K86" s="427"/>
      <c r="M86" s="294"/>
      <c r="N86" s="294"/>
      <c r="O86" s="294"/>
      <c r="P86" s="294"/>
      <c r="Q86" s="294"/>
      <c r="R86" s="294"/>
      <c r="S86" s="294"/>
      <c r="T86" s="294"/>
      <c r="U86" s="294"/>
      <c r="V86" s="294"/>
    </row>
    <row r="87" spans="1:22" s="6" customFormat="1" ht="30.75" customHeight="1">
      <c r="A87" s="420" t="s">
        <v>273</v>
      </c>
      <c r="B87" s="397">
        <v>1305</v>
      </c>
      <c r="C87" s="116"/>
      <c r="D87" s="116"/>
      <c r="E87" s="116"/>
      <c r="F87" s="116">
        <f t="shared" si="27"/>
        <v>0</v>
      </c>
      <c r="G87" s="116"/>
      <c r="H87" s="116"/>
      <c r="I87" s="116"/>
      <c r="J87" s="116"/>
      <c r="K87" s="427"/>
      <c r="M87" s="294"/>
      <c r="N87" s="294"/>
      <c r="O87" s="294"/>
      <c r="P87" s="294"/>
      <c r="Q87" s="294"/>
      <c r="R87" s="294"/>
      <c r="S87" s="294"/>
      <c r="T87" s="294"/>
      <c r="U87" s="294"/>
      <c r="V87" s="294"/>
    </row>
    <row r="88" spans="1:22" s="6" customFormat="1" ht="30.75" customHeight="1">
      <c r="A88" s="147" t="s">
        <v>104</v>
      </c>
      <c r="B88" s="413">
        <v>1310</v>
      </c>
      <c r="C88" s="117">
        <f>C82+C83-C84-C85-C86-C87</f>
        <v>17657</v>
      </c>
      <c r="D88" s="117">
        <f t="shared" ref="D88:E88" si="43">D82+D83-D84-D85-D86-D87</f>
        <v>15194</v>
      </c>
      <c r="E88" s="117">
        <f t="shared" si="43"/>
        <v>17090</v>
      </c>
      <c r="F88" s="117">
        <f t="shared" si="27"/>
        <v>9522</v>
      </c>
      <c r="G88" s="117">
        <f t="shared" ref="G88" si="44">G82+G83-G84-G85-G86-G87</f>
        <v>2381</v>
      </c>
      <c r="H88" s="117">
        <f>H82+H83-H84-H85-H86-H87</f>
        <v>2380</v>
      </c>
      <c r="I88" s="117">
        <f t="shared" ref="I88" si="45">I82+I83-I84-I85-I86-I87</f>
        <v>2381</v>
      </c>
      <c r="J88" s="117">
        <f t="shared" ref="J88" si="46">J82+J83-J84-J85-J86-J87</f>
        <v>2380</v>
      </c>
      <c r="K88" s="424"/>
      <c r="M88" s="294"/>
      <c r="N88" s="294"/>
      <c r="O88" s="294"/>
      <c r="P88" s="294"/>
      <c r="Q88" s="294"/>
      <c r="R88" s="294"/>
      <c r="S88" s="294"/>
      <c r="T88" s="294"/>
      <c r="U88" s="294"/>
      <c r="V88" s="294"/>
    </row>
    <row r="89" spans="1:22" s="6" customFormat="1" ht="34.5" customHeight="1">
      <c r="A89" s="147" t="s">
        <v>153</v>
      </c>
      <c r="B89" s="413"/>
      <c r="C89" s="117"/>
      <c r="D89" s="117"/>
      <c r="E89" s="117"/>
      <c r="F89" s="117"/>
      <c r="G89" s="117"/>
      <c r="H89" s="117"/>
      <c r="I89" s="117"/>
      <c r="J89" s="117"/>
      <c r="K89" s="424"/>
      <c r="M89" s="294"/>
      <c r="N89" s="294"/>
      <c r="O89" s="294"/>
      <c r="P89" s="294"/>
      <c r="Q89" s="294"/>
      <c r="R89" s="294"/>
      <c r="S89" s="294"/>
      <c r="T89" s="294"/>
      <c r="U89" s="294"/>
      <c r="V89" s="294"/>
    </row>
    <row r="90" spans="1:22" s="6" customFormat="1" ht="30.75" customHeight="1">
      <c r="A90" s="420" t="s">
        <v>353</v>
      </c>
      <c r="B90" s="397">
        <v>1400</v>
      </c>
      <c r="C90" s="116">
        <f>-C10-'Розшифровка до Формування'!C47</f>
        <v>50811</v>
      </c>
      <c r="D90" s="116">
        <f>-D10-'Розшифровка до Формування'!D47</f>
        <v>50204</v>
      </c>
      <c r="E90" s="116">
        <f>-E10-'Розшифровка до Формування'!E47</f>
        <v>50204</v>
      </c>
      <c r="F90" s="116">
        <f t="shared" si="27"/>
        <v>52400</v>
      </c>
      <c r="G90" s="116">
        <f>-G10-'Розшифровка до Формування'!G47</f>
        <v>13100</v>
      </c>
      <c r="H90" s="116">
        <f>-H10-'Розшифровка до Формування'!H47</f>
        <v>13100</v>
      </c>
      <c r="I90" s="116">
        <f>-I10-'Розшифровка до Формування'!I47</f>
        <v>13100</v>
      </c>
      <c r="J90" s="116">
        <f>-J10-'Розшифровка до Формування'!J47</f>
        <v>13100</v>
      </c>
      <c r="K90" s="427"/>
      <c r="M90" s="294"/>
      <c r="N90" s="294"/>
      <c r="O90" s="294"/>
      <c r="P90" s="294"/>
      <c r="Q90" s="294"/>
      <c r="R90" s="294"/>
      <c r="S90" s="294"/>
      <c r="T90" s="294"/>
      <c r="U90" s="294"/>
      <c r="V90" s="294"/>
    </row>
    <row r="91" spans="1:22" s="6" customFormat="1" ht="30.75" customHeight="1">
      <c r="A91" s="420" t="s">
        <v>5</v>
      </c>
      <c r="B91" s="397">
        <v>1410</v>
      </c>
      <c r="C91" s="116">
        <f>-(C13+C25)-'Розшифровка до Формування'!C63</f>
        <v>48080</v>
      </c>
      <c r="D91" s="116">
        <f>-(D13+D25)-'Розшифровка до Формування'!D63</f>
        <v>50404</v>
      </c>
      <c r="E91" s="116">
        <f>-(E13+E25)-'Розшифровка до Формування'!E63</f>
        <v>53540</v>
      </c>
      <c r="F91" s="116">
        <f t="shared" si="27"/>
        <v>58564</v>
      </c>
      <c r="G91" s="116">
        <f>-(G13+G25)-'Розшифровка до Формування'!G63</f>
        <v>14641</v>
      </c>
      <c r="H91" s="116">
        <f>-(H13+H25)-'Розшифровка до Формування'!H63</f>
        <v>14641</v>
      </c>
      <c r="I91" s="116">
        <f>-(I13+I25)-'Розшифровка до Формування'!I63</f>
        <v>14641</v>
      </c>
      <c r="J91" s="116">
        <f>-(J13+J25)-'Розшифровка до Формування'!J63</f>
        <v>14641</v>
      </c>
      <c r="K91" s="427"/>
      <c r="M91" s="294"/>
      <c r="N91" s="294"/>
      <c r="O91" s="294"/>
      <c r="P91" s="294"/>
      <c r="Q91" s="294"/>
      <c r="R91" s="294"/>
      <c r="S91" s="294"/>
      <c r="T91" s="294"/>
      <c r="U91" s="294"/>
      <c r="V91" s="294"/>
    </row>
    <row r="92" spans="1:22" s="6" customFormat="1" ht="30.75" customHeight="1">
      <c r="A92" s="420" t="s">
        <v>6</v>
      </c>
      <c r="B92" s="397">
        <v>1420</v>
      </c>
      <c r="C92" s="116">
        <f>-(C14+C26)-'Розшифровка до Формування'!C64</f>
        <v>10044</v>
      </c>
      <c r="D92" s="116">
        <f>-(D14+D26)-'Розшифровка до Формування'!D64</f>
        <v>11088</v>
      </c>
      <c r="E92" s="116">
        <f>-(E14+E26)-'Розшифровка до Формування'!E64</f>
        <v>11171</v>
      </c>
      <c r="F92" s="116">
        <f t="shared" si="27"/>
        <v>12884</v>
      </c>
      <c r="G92" s="116">
        <f>-(G14+G26)-'Розшифровка до Формування'!G64</f>
        <v>3221</v>
      </c>
      <c r="H92" s="116">
        <f>-(H14+H26)-'Розшифровка до Формування'!H64</f>
        <v>3221</v>
      </c>
      <c r="I92" s="116">
        <f>-(I14+I26)-'Розшифровка до Формування'!I64</f>
        <v>3221</v>
      </c>
      <c r="J92" s="116">
        <f>-(J14+J26)-'Розшифровка до Формування'!J64</f>
        <v>3221</v>
      </c>
      <c r="K92" s="427"/>
      <c r="M92" s="294"/>
      <c r="N92" s="294"/>
      <c r="O92" s="294"/>
      <c r="P92" s="294"/>
      <c r="Q92" s="294"/>
      <c r="R92" s="294"/>
      <c r="S92" s="294"/>
      <c r="T92" s="294"/>
      <c r="U92" s="294"/>
      <c r="V92" s="294"/>
    </row>
    <row r="93" spans="1:22" s="6" customFormat="1" ht="30.75" customHeight="1">
      <c r="A93" s="420" t="s">
        <v>7</v>
      </c>
      <c r="B93" s="397">
        <v>1430</v>
      </c>
      <c r="C93" s="116">
        <f t="shared" ref="C93:J93" si="47">-(C16+C27)</f>
        <v>8657</v>
      </c>
      <c r="D93" s="116">
        <f t="shared" ref="D93:E93" si="48">-(D16+D27)</f>
        <v>8192</v>
      </c>
      <c r="E93" s="116">
        <f t="shared" si="48"/>
        <v>10088</v>
      </c>
      <c r="F93" s="116">
        <f t="shared" si="27"/>
        <v>9152</v>
      </c>
      <c r="G93" s="116">
        <f t="shared" si="47"/>
        <v>2288</v>
      </c>
      <c r="H93" s="116">
        <f t="shared" si="47"/>
        <v>2288</v>
      </c>
      <c r="I93" s="116">
        <f t="shared" si="47"/>
        <v>2288</v>
      </c>
      <c r="J93" s="116">
        <f t="shared" si="47"/>
        <v>2288</v>
      </c>
      <c r="K93" s="427"/>
      <c r="M93" s="294"/>
      <c r="N93" s="294"/>
      <c r="O93" s="294"/>
      <c r="P93" s="294"/>
      <c r="Q93" s="294"/>
      <c r="R93" s="294"/>
      <c r="S93" s="294"/>
      <c r="T93" s="294"/>
      <c r="U93" s="294"/>
      <c r="V93" s="294"/>
    </row>
    <row r="94" spans="1:22" s="6" customFormat="1" ht="30.75" customHeight="1">
      <c r="A94" s="420" t="s">
        <v>26</v>
      </c>
      <c r="B94" s="397">
        <v>1440</v>
      </c>
      <c r="C94" s="116">
        <f>-(C12+C15+C17+C23+C24+C31+C32+C33+C36+C37+C39+C58)+'Розшифровка до Формування'!C47+'Розшифровка до Формування'!C10</f>
        <v>23392</v>
      </c>
      <c r="D94" s="116">
        <f>-(D12+D15+D17+D24+D32+D37+D39+D52)+'Розшифровка до Формування'!D47+'Розшифровка до Формування'!D10</f>
        <v>22306</v>
      </c>
      <c r="E94" s="116">
        <f>-(E12+E15+E17+E24+E32+E37+E39+E52)+'Розшифровка до Формування'!E47+'Розшифровка до Формування'!E10</f>
        <v>21152</v>
      </c>
      <c r="F94" s="116">
        <f t="shared" si="27"/>
        <v>21938</v>
      </c>
      <c r="G94" s="116">
        <f>-(G12+G15+G17+G24+G33+G37+G39+G52)+'Розшифровка до Формування'!G47+'Розшифровка до Формування'!G10</f>
        <v>5484</v>
      </c>
      <c r="H94" s="116">
        <f>-(H12+H15+H17+H24+H33+H37+H39+H52)+'Розшифровка до Формування'!H47+'Розшифровка до Формування'!H10</f>
        <v>5485</v>
      </c>
      <c r="I94" s="116">
        <f>-(I12+I15+I17+I24+I33+I37+I39+I52)+'Розшифровка до Формування'!I47+'Розшифровка до Формування'!I10</f>
        <v>5484</v>
      </c>
      <c r="J94" s="116">
        <f>-(J12+J15+J17+J24+J33+J37+J39+J52)+'Розшифровка до Формування'!J47+'Розшифровка до Формування'!J10</f>
        <v>5485</v>
      </c>
      <c r="K94" s="427"/>
      <c r="M94" s="294"/>
      <c r="N94" s="294"/>
      <c r="O94" s="294"/>
      <c r="P94" s="294"/>
      <c r="Q94" s="294"/>
      <c r="R94" s="294"/>
      <c r="S94" s="294"/>
      <c r="T94" s="294"/>
      <c r="U94" s="294"/>
      <c r="V94" s="294"/>
    </row>
    <row r="95" spans="1:22" s="6" customFormat="1" ht="30.75" customHeight="1">
      <c r="A95" s="147" t="s">
        <v>49</v>
      </c>
      <c r="B95" s="413">
        <v>1450</v>
      </c>
      <c r="C95" s="117">
        <f>SUM(C90:C94)</f>
        <v>140984</v>
      </c>
      <c r="D95" s="117">
        <f t="shared" ref="D95:E95" si="49">SUM(D90:D94)</f>
        <v>142194</v>
      </c>
      <c r="E95" s="117">
        <f t="shared" si="49"/>
        <v>146155</v>
      </c>
      <c r="F95" s="117">
        <f t="shared" si="27"/>
        <v>154938</v>
      </c>
      <c r="G95" s="117">
        <f>SUM(G90:G94)</f>
        <v>38734</v>
      </c>
      <c r="H95" s="117">
        <f t="shared" ref="H95" si="50">SUM(H90:H94)</f>
        <v>38735</v>
      </c>
      <c r="I95" s="117">
        <f t="shared" ref="I95" si="51">SUM(I90:I94)</f>
        <v>38734</v>
      </c>
      <c r="J95" s="117">
        <f t="shared" ref="J95" si="52">SUM(J90:J94)</f>
        <v>38735</v>
      </c>
      <c r="K95" s="424"/>
      <c r="M95" s="294"/>
      <c r="N95" s="294"/>
      <c r="O95" s="294"/>
      <c r="P95" s="294"/>
      <c r="Q95" s="294"/>
      <c r="R95" s="294"/>
      <c r="S95" s="294"/>
      <c r="T95" s="294"/>
      <c r="U95" s="294"/>
      <c r="V95" s="294"/>
    </row>
    <row r="96" spans="1:22" s="418" customFormat="1" ht="20.100000000000001" customHeight="1">
      <c r="A96" s="417"/>
      <c r="B96" s="137"/>
      <c r="C96" s="294">
        <f>SUM(C9,C19,C40,C52,C95)-'Розшифровка до Формування'!C10</f>
        <v>0</v>
      </c>
      <c r="D96" s="294">
        <f>SUM(D9,D19,D40,D52,D95)-'Розшифровка до Формування'!D10</f>
        <v>0</v>
      </c>
      <c r="E96" s="294">
        <f>SUM(E9,E19,E40,E52,E95)-'Розшифровка до Формування'!E10</f>
        <v>0</v>
      </c>
      <c r="F96" s="294">
        <f>SUM(F9,F19,F40,F52,F95)-'Розшифровка до Формування'!F10</f>
        <v>0</v>
      </c>
      <c r="G96" s="294">
        <f>SUM(G9,G19,G40,G52,G95)-'Розшифровка до Формування'!G10</f>
        <v>0</v>
      </c>
      <c r="H96" s="294">
        <f>SUM(H9,H19,H40,H52,H95)-'Розшифровка до Формування'!H10</f>
        <v>0</v>
      </c>
      <c r="I96" s="294">
        <f>SUM(I9,I19,I40,I52,I95)-'Розшифровка до Формування'!I10</f>
        <v>0</v>
      </c>
      <c r="J96" s="294">
        <f>SUM(J9,J19,J40,J52,J95)-'Розшифровка до Формування'!J10</f>
        <v>0</v>
      </c>
      <c r="K96" s="223"/>
      <c r="M96" s="294"/>
      <c r="N96" s="294"/>
      <c r="O96" s="294"/>
      <c r="P96" s="294"/>
      <c r="Q96" s="294"/>
      <c r="R96" s="294"/>
      <c r="S96" s="294"/>
      <c r="T96" s="294"/>
    </row>
    <row r="97" spans="1:10" ht="89.25" customHeight="1">
      <c r="A97" s="394"/>
      <c r="C97" s="218"/>
      <c r="D97" s="218"/>
      <c r="E97" s="218"/>
      <c r="F97" s="218"/>
      <c r="G97" s="218"/>
      <c r="H97" s="218"/>
      <c r="I97" s="218"/>
      <c r="J97" s="218"/>
    </row>
    <row r="98" spans="1:10" s="100" customFormat="1" ht="20.100000000000001" customHeight="1">
      <c r="A98" s="421" t="s">
        <v>479</v>
      </c>
      <c r="B98" s="137"/>
      <c r="C98" s="516" t="s">
        <v>155</v>
      </c>
      <c r="D98" s="516"/>
      <c r="E98" s="516"/>
      <c r="F98" s="516"/>
      <c r="G98" s="138"/>
      <c r="H98" s="509" t="s">
        <v>546</v>
      </c>
      <c r="I98" s="509"/>
      <c r="J98" s="509"/>
    </row>
    <row r="99" spans="1:10" s="101" customFormat="1" ht="29.25" customHeight="1">
      <c r="A99" s="406" t="s">
        <v>68</v>
      </c>
      <c r="B99" s="139"/>
      <c r="C99" s="511" t="s">
        <v>181</v>
      </c>
      <c r="D99" s="511"/>
      <c r="E99" s="511"/>
      <c r="F99" s="511"/>
      <c r="G99" s="140"/>
      <c r="H99" s="512" t="s">
        <v>354</v>
      </c>
      <c r="I99" s="512"/>
      <c r="J99" s="512"/>
    </row>
    <row r="100" spans="1:10" ht="20.100000000000001" customHeight="1">
      <c r="A100" s="394"/>
      <c r="C100" s="218"/>
      <c r="D100" s="218"/>
      <c r="E100" s="218"/>
      <c r="F100" s="218"/>
      <c r="G100" s="218"/>
      <c r="H100" s="224"/>
      <c r="I100" s="224"/>
      <c r="J100" s="224"/>
    </row>
    <row r="101" spans="1:10">
      <c r="A101" s="394"/>
      <c r="C101" s="222">
        <f>C9+C19+C40+C52+C95-'Розшифровка до Формування'!C10</f>
        <v>0</v>
      </c>
      <c r="D101" s="222">
        <f>D9+D19+D40+D52+D95-'Розшифровка до Формування'!D10</f>
        <v>0</v>
      </c>
      <c r="E101" s="222">
        <f>E9+E19+E40+E52+E95-'Розшифровка до Формування'!E10</f>
        <v>0</v>
      </c>
      <c r="F101" s="222">
        <f>F9+F19+F40+F52+F95-'Розшифровка до Формування'!F10</f>
        <v>0</v>
      </c>
      <c r="G101" s="222">
        <f>G9+G19+G40+G52+G95-'Розшифровка до Формування'!G10</f>
        <v>0</v>
      </c>
      <c r="H101" s="222">
        <f>H9+H19+H40+H52+H95-'Розшифровка до Формування'!H10</f>
        <v>0</v>
      </c>
      <c r="I101" s="222">
        <f>I9+I19+I40+I52+I95-'Розшифровка до Формування'!I10</f>
        <v>0</v>
      </c>
      <c r="J101" s="222">
        <f>J9+J19+J40+J52+J95-'Розшифровка до Формування'!J10</f>
        <v>0</v>
      </c>
    </row>
    <row r="102" spans="1:10">
      <c r="A102" s="394"/>
      <c r="C102" s="218"/>
      <c r="D102" s="218"/>
      <c r="E102" s="218"/>
      <c r="F102" s="218"/>
      <c r="G102" s="218"/>
      <c r="H102" s="224"/>
      <c r="I102" s="224"/>
      <c r="J102" s="224"/>
    </row>
    <row r="103" spans="1:10">
      <c r="A103" s="394"/>
      <c r="C103" s="218"/>
      <c r="D103" s="218"/>
      <c r="E103" s="218"/>
      <c r="F103" s="218"/>
      <c r="G103" s="218"/>
      <c r="H103" s="224"/>
      <c r="I103" s="224"/>
      <c r="J103" s="224"/>
    </row>
    <row r="104" spans="1:10">
      <c r="A104" s="394"/>
      <c r="C104" s="218"/>
      <c r="D104" s="218"/>
      <c r="E104" s="218"/>
      <c r="F104" s="218"/>
      <c r="G104" s="218"/>
      <c r="H104" s="224"/>
      <c r="I104" s="224"/>
      <c r="J104" s="224"/>
    </row>
    <row r="105" spans="1:10">
      <c r="A105" s="394"/>
      <c r="C105" s="218"/>
      <c r="D105" s="224"/>
      <c r="E105" s="224"/>
      <c r="F105" s="224"/>
      <c r="G105" s="224"/>
      <c r="H105" s="224"/>
      <c r="I105" s="224"/>
      <c r="J105" s="224"/>
    </row>
    <row r="106" spans="1:10">
      <c r="A106" s="394"/>
      <c r="C106" s="218"/>
      <c r="D106" s="218"/>
      <c r="E106" s="218"/>
      <c r="F106" s="218"/>
      <c r="G106" s="218"/>
      <c r="H106" s="224"/>
      <c r="I106" s="224"/>
      <c r="J106" s="224"/>
    </row>
    <row r="107" spans="1:10">
      <c r="A107" s="394"/>
      <c r="C107" s="218"/>
      <c r="D107" s="218"/>
      <c r="E107" s="218"/>
      <c r="F107" s="218"/>
      <c r="G107" s="218"/>
      <c r="H107" s="224"/>
      <c r="I107" s="224"/>
      <c r="J107" s="224"/>
    </row>
    <row r="108" spans="1:10">
      <c r="A108" s="394"/>
      <c r="C108" s="218"/>
      <c r="D108" s="224"/>
      <c r="E108" s="224"/>
      <c r="F108" s="224"/>
      <c r="G108" s="224"/>
      <c r="H108" s="224"/>
      <c r="I108" s="224"/>
      <c r="J108" s="224"/>
    </row>
    <row r="109" spans="1:10">
      <c r="A109" s="394"/>
      <c r="C109" s="218"/>
      <c r="D109" s="218"/>
      <c r="E109" s="218"/>
      <c r="F109" s="218"/>
      <c r="G109" s="218"/>
      <c r="H109" s="224"/>
      <c r="I109" s="224"/>
      <c r="J109" s="224"/>
    </row>
    <row r="110" spans="1:10">
      <c r="A110" s="394"/>
      <c r="C110" s="218"/>
      <c r="D110" s="218"/>
      <c r="E110" s="218"/>
      <c r="F110" s="218"/>
      <c r="G110" s="218"/>
      <c r="H110" s="224"/>
      <c r="I110" s="224"/>
      <c r="J110" s="224"/>
    </row>
    <row r="111" spans="1:10">
      <c r="A111" s="394"/>
      <c r="C111" s="218"/>
      <c r="D111" s="224"/>
      <c r="E111" s="224"/>
      <c r="F111" s="224"/>
      <c r="G111" s="224"/>
      <c r="H111" s="224"/>
      <c r="I111" s="224"/>
      <c r="J111" s="224"/>
    </row>
    <row r="112" spans="1:10">
      <c r="A112" s="394"/>
      <c r="C112" s="218"/>
      <c r="D112" s="218"/>
      <c r="E112" s="218"/>
      <c r="F112" s="218"/>
      <c r="G112" s="218"/>
      <c r="H112" s="224"/>
      <c r="I112" s="224"/>
      <c r="J112" s="224"/>
    </row>
    <row r="113" spans="1:10">
      <c r="A113" s="394"/>
      <c r="C113" s="218"/>
      <c r="D113" s="218"/>
      <c r="E113" s="218"/>
      <c r="F113" s="218"/>
      <c r="G113" s="218"/>
      <c r="H113" s="224"/>
      <c r="I113" s="224"/>
      <c r="J113" s="224"/>
    </row>
    <row r="114" spans="1:10">
      <c r="A114" s="394"/>
      <c r="C114" s="218"/>
      <c r="D114" s="224"/>
      <c r="E114" s="224"/>
      <c r="F114" s="224"/>
      <c r="G114" s="224"/>
      <c r="H114" s="224"/>
      <c r="I114" s="224"/>
      <c r="J114" s="224"/>
    </row>
    <row r="115" spans="1:10">
      <c r="A115" s="394"/>
      <c r="C115" s="218"/>
      <c r="D115" s="218"/>
      <c r="E115" s="218"/>
      <c r="F115" s="218"/>
      <c r="G115" s="218"/>
      <c r="H115" s="224"/>
      <c r="I115" s="224"/>
      <c r="J115" s="224"/>
    </row>
    <row r="116" spans="1:10">
      <c r="A116" s="394"/>
      <c r="C116" s="218"/>
      <c r="D116" s="218"/>
      <c r="E116" s="218"/>
      <c r="F116" s="218"/>
      <c r="G116" s="218"/>
      <c r="H116" s="224"/>
      <c r="I116" s="224"/>
      <c r="J116" s="224"/>
    </row>
    <row r="117" spans="1:10">
      <c r="A117" s="394"/>
      <c r="C117" s="218"/>
      <c r="D117" s="224"/>
      <c r="E117" s="224"/>
      <c r="F117" s="224"/>
      <c r="G117" s="224"/>
      <c r="H117" s="224"/>
      <c r="I117" s="224"/>
      <c r="J117" s="224"/>
    </row>
    <row r="118" spans="1:10">
      <c r="A118" s="394"/>
      <c r="C118" s="218"/>
      <c r="D118" s="224"/>
      <c r="E118" s="224"/>
      <c r="F118" s="224"/>
      <c r="G118" s="224"/>
      <c r="H118" s="224"/>
      <c r="I118" s="224"/>
      <c r="J118" s="224"/>
    </row>
    <row r="119" spans="1:10">
      <c r="A119" s="394"/>
      <c r="C119" s="218"/>
      <c r="D119" s="224"/>
      <c r="E119" s="224"/>
      <c r="F119" s="224"/>
      <c r="G119" s="224"/>
      <c r="H119" s="224"/>
      <c r="I119" s="224"/>
      <c r="J119" s="224"/>
    </row>
    <row r="120" spans="1:10">
      <c r="A120" s="394"/>
      <c r="C120" s="218"/>
      <c r="D120" s="224"/>
      <c r="E120" s="224"/>
      <c r="F120" s="224"/>
      <c r="G120" s="224"/>
      <c r="H120" s="224"/>
      <c r="I120" s="224"/>
      <c r="J120" s="224"/>
    </row>
    <row r="121" spans="1:10">
      <c r="A121" s="394"/>
      <c r="C121" s="218"/>
      <c r="D121" s="224"/>
      <c r="E121" s="224"/>
      <c r="F121" s="224"/>
      <c r="G121" s="224"/>
      <c r="H121" s="224"/>
      <c r="I121" s="224"/>
      <c r="J121" s="224"/>
    </row>
    <row r="122" spans="1:10">
      <c r="A122" s="394"/>
      <c r="C122" s="218"/>
      <c r="D122" s="224"/>
      <c r="E122" s="224"/>
      <c r="F122" s="224"/>
      <c r="G122" s="224"/>
      <c r="H122" s="224"/>
      <c r="I122" s="224"/>
      <c r="J122" s="224"/>
    </row>
    <row r="123" spans="1:10">
      <c r="A123" s="394"/>
      <c r="C123" s="218"/>
      <c r="D123" s="224"/>
      <c r="E123" s="224"/>
      <c r="F123" s="224"/>
      <c r="G123" s="224"/>
      <c r="H123" s="224"/>
      <c r="I123" s="224"/>
      <c r="J123" s="224"/>
    </row>
    <row r="124" spans="1:10">
      <c r="A124" s="394"/>
      <c r="C124" s="218"/>
      <c r="D124" s="224"/>
      <c r="E124" s="224"/>
      <c r="F124" s="224"/>
      <c r="G124" s="224"/>
      <c r="H124" s="224"/>
      <c r="I124" s="224"/>
      <c r="J124" s="224"/>
    </row>
    <row r="125" spans="1:10">
      <c r="A125" s="394"/>
      <c r="C125" s="218"/>
      <c r="D125" s="224"/>
      <c r="E125" s="224"/>
      <c r="F125" s="224"/>
      <c r="G125" s="224"/>
      <c r="H125" s="224"/>
      <c r="I125" s="224"/>
      <c r="J125" s="224"/>
    </row>
    <row r="126" spans="1:10">
      <c r="A126" s="394"/>
      <c r="C126" s="218"/>
      <c r="D126" s="224"/>
      <c r="E126" s="224"/>
      <c r="F126" s="224"/>
      <c r="G126" s="224"/>
      <c r="H126" s="224"/>
      <c r="I126" s="224"/>
      <c r="J126" s="224"/>
    </row>
    <row r="127" spans="1:10">
      <c r="A127" s="394"/>
      <c r="C127" s="218"/>
      <c r="D127" s="224"/>
      <c r="E127" s="224"/>
      <c r="F127" s="224"/>
      <c r="G127" s="224"/>
      <c r="H127" s="224"/>
      <c r="I127" s="224"/>
      <c r="J127" s="224"/>
    </row>
    <row r="128" spans="1:10">
      <c r="A128" s="394"/>
      <c r="C128" s="218"/>
      <c r="D128" s="224"/>
      <c r="E128" s="224"/>
      <c r="F128" s="224"/>
      <c r="G128" s="224"/>
      <c r="H128" s="224"/>
      <c r="I128" s="224"/>
      <c r="J128" s="224"/>
    </row>
    <row r="129" spans="1:10">
      <c r="A129" s="394"/>
      <c r="C129" s="218"/>
      <c r="D129" s="224"/>
      <c r="E129" s="224"/>
      <c r="F129" s="224"/>
      <c r="G129" s="224"/>
      <c r="H129" s="224"/>
      <c r="I129" s="224"/>
      <c r="J129" s="224"/>
    </row>
    <row r="130" spans="1:10">
      <c r="A130" s="394"/>
      <c r="C130" s="218"/>
      <c r="D130" s="224"/>
      <c r="E130" s="224"/>
      <c r="F130" s="224"/>
      <c r="G130" s="224"/>
      <c r="H130" s="224"/>
      <c r="I130" s="224"/>
      <c r="J130" s="224"/>
    </row>
    <row r="131" spans="1:10">
      <c r="A131" s="394"/>
      <c r="C131" s="218"/>
      <c r="D131" s="224"/>
      <c r="E131" s="224"/>
      <c r="F131" s="224"/>
      <c r="G131" s="224"/>
      <c r="H131" s="224"/>
      <c r="I131" s="224"/>
      <c r="J131" s="224"/>
    </row>
    <row r="132" spans="1:10">
      <c r="A132" s="394"/>
      <c r="C132" s="218"/>
      <c r="D132" s="224"/>
      <c r="E132" s="224"/>
      <c r="F132" s="224"/>
      <c r="G132" s="224"/>
      <c r="H132" s="224"/>
      <c r="I132" s="224"/>
      <c r="J132" s="224"/>
    </row>
    <row r="133" spans="1:10">
      <c r="A133" s="394"/>
      <c r="C133" s="218"/>
      <c r="D133" s="224"/>
      <c r="E133" s="224"/>
      <c r="F133" s="224"/>
      <c r="G133" s="224"/>
      <c r="H133" s="224"/>
      <c r="I133" s="224"/>
      <c r="J133" s="224"/>
    </row>
    <row r="134" spans="1:10">
      <c r="A134" s="394"/>
      <c r="C134" s="218"/>
      <c r="D134" s="224"/>
      <c r="E134" s="224"/>
      <c r="F134" s="224"/>
      <c r="G134" s="224"/>
      <c r="H134" s="224"/>
      <c r="I134" s="224"/>
      <c r="J134" s="224"/>
    </row>
    <row r="135" spans="1:10">
      <c r="A135" s="394"/>
      <c r="C135" s="218"/>
      <c r="D135" s="224"/>
      <c r="E135" s="224"/>
      <c r="F135" s="224"/>
      <c r="G135" s="224"/>
      <c r="H135" s="224"/>
      <c r="I135" s="224"/>
      <c r="J135" s="224"/>
    </row>
    <row r="136" spans="1:10">
      <c r="A136" s="394"/>
      <c r="C136" s="218"/>
      <c r="D136" s="224"/>
      <c r="E136" s="224"/>
      <c r="F136" s="224"/>
      <c r="G136" s="224"/>
      <c r="H136" s="224"/>
      <c r="I136" s="224"/>
      <c r="J136" s="224"/>
    </row>
    <row r="137" spans="1:10">
      <c r="A137" s="394"/>
      <c r="C137" s="218"/>
      <c r="D137" s="224"/>
      <c r="E137" s="224"/>
      <c r="F137" s="224"/>
      <c r="G137" s="224"/>
      <c r="H137" s="224"/>
      <c r="I137" s="224"/>
      <c r="J137" s="224"/>
    </row>
    <row r="138" spans="1:10">
      <c r="A138" s="394"/>
      <c r="C138" s="218"/>
      <c r="D138" s="224"/>
      <c r="E138" s="224"/>
      <c r="F138" s="224"/>
      <c r="G138" s="224"/>
      <c r="H138" s="224"/>
      <c r="I138" s="224"/>
      <c r="J138" s="224"/>
    </row>
    <row r="139" spans="1:10">
      <c r="A139" s="394"/>
      <c r="C139" s="218"/>
      <c r="D139" s="224"/>
      <c r="E139" s="224"/>
      <c r="F139" s="224"/>
      <c r="G139" s="224"/>
      <c r="H139" s="224"/>
      <c r="I139" s="224"/>
      <c r="J139" s="224"/>
    </row>
    <row r="140" spans="1:10">
      <c r="A140" s="394"/>
      <c r="C140" s="218"/>
      <c r="D140" s="224"/>
      <c r="E140" s="224"/>
      <c r="F140" s="224"/>
      <c r="G140" s="224"/>
      <c r="H140" s="224"/>
      <c r="I140" s="224"/>
      <c r="J140" s="224"/>
    </row>
    <row r="141" spans="1:10">
      <c r="A141" s="394"/>
      <c r="C141" s="218"/>
      <c r="D141" s="224"/>
      <c r="E141" s="224"/>
      <c r="F141" s="224"/>
      <c r="G141" s="224"/>
      <c r="H141" s="224"/>
      <c r="I141" s="224"/>
      <c r="J141" s="224"/>
    </row>
    <row r="142" spans="1:10">
      <c r="A142" s="394"/>
      <c r="C142" s="218"/>
      <c r="D142" s="224"/>
      <c r="E142" s="224"/>
      <c r="F142" s="224"/>
      <c r="G142" s="224"/>
      <c r="H142" s="224"/>
      <c r="I142" s="224"/>
      <c r="J142" s="224"/>
    </row>
    <row r="143" spans="1:10">
      <c r="A143" s="394"/>
      <c r="C143" s="218"/>
      <c r="D143" s="224"/>
      <c r="E143" s="224"/>
      <c r="F143" s="224"/>
      <c r="G143" s="224"/>
      <c r="H143" s="224"/>
      <c r="I143" s="224"/>
      <c r="J143" s="224"/>
    </row>
    <row r="144" spans="1:10">
      <c r="A144" s="394"/>
      <c r="C144" s="218"/>
      <c r="D144" s="224"/>
      <c r="E144" s="224"/>
      <c r="F144" s="224"/>
      <c r="G144" s="224"/>
      <c r="H144" s="224"/>
      <c r="I144" s="224"/>
      <c r="J144" s="224"/>
    </row>
    <row r="145" spans="1:10">
      <c r="A145" s="394"/>
      <c r="C145" s="218"/>
      <c r="D145" s="224"/>
      <c r="E145" s="224"/>
      <c r="F145" s="224"/>
      <c r="G145" s="224"/>
      <c r="H145" s="224"/>
      <c r="I145" s="224"/>
      <c r="J145" s="224"/>
    </row>
    <row r="146" spans="1:10">
      <c r="A146" s="394"/>
      <c r="C146" s="218"/>
      <c r="D146" s="224"/>
      <c r="E146" s="224"/>
      <c r="F146" s="224"/>
      <c r="G146" s="224"/>
      <c r="H146" s="224"/>
      <c r="I146" s="224"/>
      <c r="J146" s="224"/>
    </row>
    <row r="147" spans="1:10">
      <c r="A147" s="394"/>
      <c r="C147" s="218"/>
      <c r="D147" s="224"/>
      <c r="E147" s="224"/>
      <c r="F147" s="224"/>
      <c r="G147" s="224"/>
      <c r="H147" s="224"/>
      <c r="I147" s="224"/>
      <c r="J147" s="224"/>
    </row>
    <row r="148" spans="1:10">
      <c r="A148" s="394"/>
      <c r="C148" s="218"/>
      <c r="D148" s="224"/>
      <c r="E148" s="224"/>
      <c r="F148" s="224"/>
      <c r="G148" s="224"/>
      <c r="H148" s="224"/>
      <c r="I148" s="224"/>
      <c r="J148" s="224"/>
    </row>
    <row r="149" spans="1:10">
      <c r="A149" s="394"/>
      <c r="C149" s="218"/>
      <c r="D149" s="224"/>
      <c r="E149" s="224"/>
      <c r="F149" s="224"/>
      <c r="G149" s="224"/>
      <c r="H149" s="224"/>
      <c r="I149" s="224"/>
      <c r="J149" s="224"/>
    </row>
    <row r="150" spans="1:10">
      <c r="A150" s="394"/>
      <c r="C150" s="218"/>
      <c r="D150" s="224"/>
      <c r="E150" s="224"/>
      <c r="F150" s="224"/>
      <c r="G150" s="224"/>
      <c r="H150" s="224"/>
      <c r="I150" s="224"/>
      <c r="J150" s="224"/>
    </row>
    <row r="151" spans="1:10">
      <c r="A151" s="394"/>
      <c r="C151" s="218"/>
      <c r="D151" s="224"/>
      <c r="E151" s="224"/>
      <c r="F151" s="224"/>
      <c r="G151" s="224"/>
      <c r="H151" s="224"/>
      <c r="I151" s="224"/>
      <c r="J151" s="224"/>
    </row>
    <row r="152" spans="1:10">
      <c r="A152" s="394"/>
      <c r="C152" s="218"/>
      <c r="D152" s="224"/>
      <c r="E152" s="224"/>
      <c r="F152" s="224"/>
      <c r="G152" s="224"/>
      <c r="H152" s="224"/>
      <c r="I152" s="224"/>
      <c r="J152" s="224"/>
    </row>
    <row r="153" spans="1:10">
      <c r="A153" s="394"/>
      <c r="C153" s="218"/>
      <c r="D153" s="224"/>
      <c r="E153" s="224"/>
      <c r="F153" s="224"/>
      <c r="G153" s="224"/>
      <c r="H153" s="224"/>
      <c r="I153" s="224"/>
      <c r="J153" s="224"/>
    </row>
    <row r="154" spans="1:10">
      <c r="A154" s="394"/>
      <c r="C154" s="218"/>
      <c r="D154" s="224"/>
      <c r="E154" s="224"/>
      <c r="F154" s="224"/>
      <c r="G154" s="224"/>
      <c r="H154" s="224"/>
      <c r="I154" s="224"/>
      <c r="J154" s="224"/>
    </row>
    <row r="155" spans="1:10">
      <c r="A155" s="394"/>
      <c r="C155" s="218"/>
      <c r="D155" s="224"/>
      <c r="E155" s="224"/>
      <c r="F155" s="224"/>
      <c r="G155" s="224"/>
      <c r="H155" s="224"/>
      <c r="I155" s="224"/>
      <c r="J155" s="224"/>
    </row>
    <row r="156" spans="1:10">
      <c r="A156" s="394"/>
      <c r="C156" s="218"/>
      <c r="D156" s="224"/>
      <c r="E156" s="224"/>
      <c r="F156" s="224"/>
      <c r="G156" s="224"/>
      <c r="H156" s="224"/>
      <c r="I156" s="224"/>
      <c r="J156" s="224"/>
    </row>
    <row r="157" spans="1:10">
      <c r="A157" s="394"/>
      <c r="C157" s="218"/>
      <c r="D157" s="224"/>
      <c r="E157" s="224"/>
      <c r="F157" s="224"/>
      <c r="G157" s="224"/>
      <c r="H157" s="224"/>
      <c r="I157" s="224"/>
      <c r="J157" s="224"/>
    </row>
    <row r="158" spans="1:10">
      <c r="A158" s="4"/>
    </row>
    <row r="159" spans="1:10">
      <c r="A159" s="4"/>
    </row>
    <row r="160" spans="1:10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</sheetData>
  <sheetProtection algorithmName="SHA-512" hashValue="Ts1d87shv5cUB5nKH2p0ssDxv3FJG8AzMbNk0o6CgeG2wPjWWuofS1D8GwUyxies2usIKWqhOR1LInCn+TuLrA==" saltValue="f9cR0zMg6F581Lc4oznGvA==" spinCount="100000" sheet="1" objects="1" scenarios="1" selectLockedCells="1" selectUnlockedCells="1"/>
  <mergeCells count="14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C99:F99"/>
    <mergeCell ref="H99:J99"/>
    <mergeCell ref="A7:K7"/>
    <mergeCell ref="C98:F98"/>
    <mergeCell ref="H98:J98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305"/>
  <sheetViews>
    <sheetView view="pageBreakPreview" topLeftCell="A35" zoomScale="74" zoomScaleNormal="69" zoomScaleSheetLayoutView="74" workbookViewId="0">
      <selection activeCell="A35" sqref="A1:XFD1048576"/>
    </sheetView>
  </sheetViews>
  <sheetFormatPr defaultColWidth="9.109375" defaultRowHeight="18"/>
  <cols>
    <col min="1" max="1" width="72.6640625" style="1" customWidth="1"/>
    <col min="2" max="2" width="16.109375" style="403" customWidth="1"/>
    <col min="3" max="5" width="18.6640625" style="403" customWidth="1"/>
    <col min="6" max="6" width="18.109375" style="403" customWidth="1"/>
    <col min="7" max="10" width="16.6640625" style="1" customWidth="1"/>
    <col min="11" max="11" width="9.6640625" style="1" bestFit="1" customWidth="1"/>
    <col min="12" max="16384" width="9.109375" style="1"/>
  </cols>
  <sheetData>
    <row r="1" spans="1:19" ht="14.25" customHeight="1"/>
    <row r="2" spans="1:19" ht="20.399999999999999">
      <c r="A2" s="517" t="s">
        <v>398</v>
      </c>
      <c r="B2" s="517"/>
      <c r="C2" s="517"/>
      <c r="D2" s="517"/>
      <c r="E2" s="517"/>
      <c r="F2" s="517"/>
      <c r="G2" s="517"/>
      <c r="H2" s="517"/>
    </row>
    <row r="3" spans="1:19" ht="15" customHeight="1">
      <c r="A3" s="411"/>
      <c r="B3" s="7"/>
      <c r="C3" s="411"/>
      <c r="D3" s="411"/>
      <c r="E3" s="411"/>
      <c r="F3" s="7"/>
      <c r="G3" s="411"/>
      <c r="H3" s="411"/>
      <c r="J3" s="98" t="s">
        <v>395</v>
      </c>
    </row>
    <row r="4" spans="1:19" ht="41.25" customHeight="1">
      <c r="A4" s="490" t="s">
        <v>163</v>
      </c>
      <c r="B4" s="488" t="s">
        <v>17</v>
      </c>
      <c r="C4" s="483" t="s">
        <v>650</v>
      </c>
      <c r="D4" s="483" t="s">
        <v>651</v>
      </c>
      <c r="E4" s="481" t="s">
        <v>652</v>
      </c>
      <c r="F4" s="488" t="s">
        <v>653</v>
      </c>
      <c r="G4" s="488" t="s">
        <v>324</v>
      </c>
      <c r="H4" s="488"/>
      <c r="I4" s="488"/>
      <c r="J4" s="488"/>
    </row>
    <row r="5" spans="1:19" ht="66.75" customHeight="1">
      <c r="A5" s="490"/>
      <c r="B5" s="488"/>
      <c r="C5" s="484"/>
      <c r="D5" s="484"/>
      <c r="E5" s="482"/>
      <c r="F5" s="488"/>
      <c r="G5" s="408" t="s">
        <v>125</v>
      </c>
      <c r="H5" s="408" t="s">
        <v>126</v>
      </c>
      <c r="I5" s="408" t="s">
        <v>127</v>
      </c>
      <c r="J5" s="408" t="s">
        <v>63</v>
      </c>
    </row>
    <row r="6" spans="1:19" ht="23.25" customHeight="1">
      <c r="A6" s="315">
        <v>1</v>
      </c>
      <c r="B6" s="412">
        <v>2</v>
      </c>
      <c r="C6" s="412">
        <v>3</v>
      </c>
      <c r="D6" s="412">
        <v>4</v>
      </c>
      <c r="E6" s="412">
        <v>5</v>
      </c>
      <c r="F6" s="412">
        <v>6</v>
      </c>
      <c r="G6" s="412">
        <v>7</v>
      </c>
      <c r="H6" s="412">
        <v>8</v>
      </c>
      <c r="I6" s="315">
        <v>9</v>
      </c>
      <c r="J6" s="315">
        <v>10</v>
      </c>
    </row>
    <row r="7" spans="1:19" ht="60" customHeight="1">
      <c r="A7" s="171" t="s">
        <v>400</v>
      </c>
      <c r="B7" s="225">
        <v>1018</v>
      </c>
      <c r="C7" s="111">
        <f>SUM(C8:C33)</f>
        <v>-16459</v>
      </c>
      <c r="D7" s="111">
        <f>SUM(D8:D33)</f>
        <v>-16668</v>
      </c>
      <c r="E7" s="111">
        <f>SUM(E8:E33)</f>
        <v>-16108</v>
      </c>
      <c r="F7" s="111">
        <f>SUM(G7:J7)</f>
        <v>-16590</v>
      </c>
      <c r="G7" s="111">
        <f>SUM(G8:G33)</f>
        <v>-4147</v>
      </c>
      <c r="H7" s="111">
        <f>SUM(H8:H33)</f>
        <v>-4148</v>
      </c>
      <c r="I7" s="111">
        <f>SUM(I8:I33)</f>
        <v>-4147</v>
      </c>
      <c r="J7" s="111">
        <f>SUM(J8:J33)</f>
        <v>-4148</v>
      </c>
      <c r="K7" s="226"/>
      <c r="L7" s="226"/>
      <c r="M7" s="226"/>
      <c r="N7" s="226"/>
      <c r="O7" s="226"/>
      <c r="P7" s="226"/>
      <c r="Q7" s="226"/>
      <c r="R7" s="226"/>
      <c r="S7" s="226"/>
    </row>
    <row r="8" spans="1:19" ht="22.5" customHeight="1">
      <c r="A8" s="227" t="s">
        <v>551</v>
      </c>
      <c r="B8" s="225"/>
      <c r="C8" s="175">
        <v>-5646</v>
      </c>
      <c r="D8" s="185">
        <v>-5640</v>
      </c>
      <c r="E8" s="185">
        <v>-5640</v>
      </c>
      <c r="F8" s="185">
        <f>SUM(G8:J8)</f>
        <v>-5748</v>
      </c>
      <c r="G8" s="185">
        <v>-1437</v>
      </c>
      <c r="H8" s="185">
        <v>-1437</v>
      </c>
      <c r="I8" s="185">
        <v>-1437</v>
      </c>
      <c r="J8" s="185">
        <v>-1437</v>
      </c>
      <c r="K8" s="226"/>
      <c r="L8" s="226"/>
      <c r="M8" s="226"/>
      <c r="N8" s="226"/>
      <c r="O8" s="226"/>
      <c r="P8" s="226"/>
      <c r="Q8" s="226"/>
      <c r="R8" s="226"/>
      <c r="S8" s="226"/>
    </row>
    <row r="9" spans="1:19" ht="22.5" customHeight="1">
      <c r="A9" s="227" t="s">
        <v>285</v>
      </c>
      <c r="B9" s="225"/>
      <c r="C9" s="175">
        <v>-193</v>
      </c>
      <c r="D9" s="185">
        <v>-192</v>
      </c>
      <c r="E9" s="185">
        <v>-192</v>
      </c>
      <c r="F9" s="185">
        <f t="shared" ref="F9:F48" si="0">SUM(G9:J9)</f>
        <v>-216</v>
      </c>
      <c r="G9" s="185">
        <v>-54</v>
      </c>
      <c r="H9" s="185">
        <v>-54</v>
      </c>
      <c r="I9" s="185">
        <v>-54</v>
      </c>
      <c r="J9" s="185">
        <v>-54</v>
      </c>
      <c r="K9" s="226"/>
      <c r="L9" s="226"/>
      <c r="M9" s="226"/>
      <c r="N9" s="226"/>
      <c r="O9" s="226"/>
      <c r="P9" s="226"/>
      <c r="Q9" s="226"/>
      <c r="R9" s="226"/>
      <c r="S9" s="226"/>
    </row>
    <row r="10" spans="1:19" ht="22.5" customHeight="1">
      <c r="A10" s="227" t="s">
        <v>480</v>
      </c>
      <c r="B10" s="225"/>
      <c r="C10" s="175">
        <v>-14</v>
      </c>
      <c r="D10" s="185">
        <v>-16</v>
      </c>
      <c r="E10" s="185">
        <v>-16</v>
      </c>
      <c r="F10" s="185">
        <f t="shared" si="0"/>
        <v>-20</v>
      </c>
      <c r="G10" s="185">
        <v>-5</v>
      </c>
      <c r="H10" s="185">
        <v>-5</v>
      </c>
      <c r="I10" s="185">
        <v>-5</v>
      </c>
      <c r="J10" s="185">
        <v>-5</v>
      </c>
      <c r="K10" s="226"/>
      <c r="L10" s="226"/>
      <c r="M10" s="226"/>
      <c r="N10" s="226"/>
      <c r="O10" s="226"/>
      <c r="P10" s="226"/>
      <c r="Q10" s="226"/>
      <c r="R10" s="226"/>
      <c r="S10" s="226"/>
    </row>
    <row r="11" spans="1:19" ht="22.5" customHeight="1">
      <c r="A11" s="227" t="s">
        <v>482</v>
      </c>
      <c r="B11" s="225"/>
      <c r="C11" s="175">
        <v>-12</v>
      </c>
      <c r="D11" s="185">
        <v>-16</v>
      </c>
      <c r="E11" s="185">
        <v>-16</v>
      </c>
      <c r="F11" s="185">
        <f t="shared" si="0"/>
        <v>-20</v>
      </c>
      <c r="G11" s="185">
        <v>-5</v>
      </c>
      <c r="H11" s="185">
        <v>-5</v>
      </c>
      <c r="I11" s="185">
        <v>-5</v>
      </c>
      <c r="J11" s="185">
        <v>-5</v>
      </c>
      <c r="K11" s="226"/>
      <c r="L11" s="226"/>
      <c r="M11" s="226"/>
      <c r="N11" s="226"/>
      <c r="O11" s="226"/>
      <c r="P11" s="226"/>
      <c r="Q11" s="226"/>
      <c r="R11" s="226"/>
      <c r="S11" s="226"/>
    </row>
    <row r="12" spans="1:19" ht="22.5" hidden="1" customHeight="1">
      <c r="A12" s="227" t="s">
        <v>517</v>
      </c>
      <c r="B12" s="225"/>
      <c r="C12" s="175"/>
      <c r="D12" s="185">
        <v>0</v>
      </c>
      <c r="E12" s="185">
        <v>0</v>
      </c>
      <c r="F12" s="185">
        <f t="shared" si="0"/>
        <v>0</v>
      </c>
      <c r="G12" s="185"/>
      <c r="H12" s="185"/>
      <c r="I12" s="185"/>
      <c r="J12" s="185"/>
      <c r="K12" s="226"/>
      <c r="L12" s="226"/>
      <c r="M12" s="226"/>
      <c r="N12" s="226"/>
      <c r="O12" s="226"/>
      <c r="P12" s="226"/>
      <c r="Q12" s="226"/>
      <c r="R12" s="226"/>
      <c r="S12" s="226"/>
    </row>
    <row r="13" spans="1:19" ht="22.5" customHeight="1">
      <c r="A13" s="227" t="s">
        <v>518</v>
      </c>
      <c r="B13" s="225"/>
      <c r="C13" s="175">
        <v>-4</v>
      </c>
      <c r="D13" s="185">
        <v>-4</v>
      </c>
      <c r="E13" s="185">
        <v>-4</v>
      </c>
      <c r="F13" s="185">
        <f t="shared" si="0"/>
        <v>-4</v>
      </c>
      <c r="G13" s="185">
        <f>-1</f>
        <v>-1</v>
      </c>
      <c r="H13" s="185">
        <f t="shared" ref="H13:J13" si="1">-1</f>
        <v>-1</v>
      </c>
      <c r="I13" s="185">
        <f t="shared" si="1"/>
        <v>-1</v>
      </c>
      <c r="J13" s="185">
        <f t="shared" si="1"/>
        <v>-1</v>
      </c>
      <c r="K13" s="226"/>
      <c r="L13" s="226"/>
      <c r="M13" s="226"/>
      <c r="N13" s="226"/>
      <c r="O13" s="226"/>
      <c r="P13" s="226"/>
      <c r="Q13" s="226"/>
      <c r="R13" s="226"/>
      <c r="S13" s="226"/>
    </row>
    <row r="14" spans="1:19" ht="22.5" customHeight="1">
      <c r="A14" s="227" t="s">
        <v>525</v>
      </c>
      <c r="B14" s="225"/>
      <c r="C14" s="175">
        <v>-184</v>
      </c>
      <c r="D14" s="185">
        <v>-256</v>
      </c>
      <c r="E14" s="185">
        <v>-256</v>
      </c>
      <c r="F14" s="185">
        <f t="shared" si="0"/>
        <v>-404</v>
      </c>
      <c r="G14" s="185">
        <f>-101</f>
        <v>-101</v>
      </c>
      <c r="H14" s="185">
        <f t="shared" ref="H14:J14" si="2">-101</f>
        <v>-101</v>
      </c>
      <c r="I14" s="185">
        <f t="shared" si="2"/>
        <v>-101</v>
      </c>
      <c r="J14" s="185">
        <f t="shared" si="2"/>
        <v>-101</v>
      </c>
      <c r="K14" s="226"/>
      <c r="L14" s="226"/>
      <c r="M14" s="226"/>
      <c r="N14" s="226"/>
      <c r="O14" s="226"/>
      <c r="P14" s="226"/>
      <c r="Q14" s="226"/>
      <c r="R14" s="226"/>
      <c r="S14" s="226"/>
    </row>
    <row r="15" spans="1:19" ht="22.5" customHeight="1">
      <c r="A15" s="227" t="s">
        <v>519</v>
      </c>
      <c r="B15" s="225"/>
      <c r="C15" s="175">
        <v>-68</v>
      </c>
      <c r="D15" s="185"/>
      <c r="E15" s="185">
        <v>-68</v>
      </c>
      <c r="F15" s="185">
        <f t="shared" si="0"/>
        <v>-68</v>
      </c>
      <c r="G15" s="185">
        <v>-17</v>
      </c>
      <c r="H15" s="185">
        <v>-17</v>
      </c>
      <c r="I15" s="185">
        <v>-17</v>
      </c>
      <c r="J15" s="185">
        <v>-17</v>
      </c>
      <c r="K15" s="226"/>
      <c r="L15" s="226"/>
      <c r="M15" s="226"/>
      <c r="N15" s="226"/>
      <c r="O15" s="226"/>
      <c r="P15" s="226"/>
      <c r="Q15" s="226"/>
      <c r="R15" s="226"/>
      <c r="S15" s="226"/>
    </row>
    <row r="16" spans="1:19" ht="23.25" hidden="1" customHeight="1">
      <c r="A16" s="227" t="s">
        <v>633</v>
      </c>
      <c r="B16" s="225"/>
      <c r="C16" s="175"/>
      <c r="D16" s="185">
        <v>0</v>
      </c>
      <c r="E16" s="185">
        <v>0</v>
      </c>
      <c r="F16" s="185">
        <f t="shared" si="0"/>
        <v>0</v>
      </c>
      <c r="G16" s="185"/>
      <c r="H16" s="185"/>
      <c r="I16" s="185"/>
      <c r="J16" s="185"/>
      <c r="K16" s="226"/>
      <c r="L16" s="226"/>
      <c r="M16" s="226"/>
      <c r="N16" s="226"/>
      <c r="O16" s="226"/>
      <c r="P16" s="226"/>
      <c r="Q16" s="226"/>
      <c r="R16" s="226"/>
      <c r="S16" s="226"/>
    </row>
    <row r="17" spans="1:19" ht="22.5" customHeight="1">
      <c r="A17" s="227" t="s">
        <v>483</v>
      </c>
      <c r="B17" s="225"/>
      <c r="C17" s="175">
        <v>-6</v>
      </c>
      <c r="D17" s="185">
        <v>-8</v>
      </c>
      <c r="E17" s="185"/>
      <c r="F17" s="185">
        <f t="shared" si="0"/>
        <v>0</v>
      </c>
      <c r="G17" s="185"/>
      <c r="H17" s="185"/>
      <c r="I17" s="185"/>
      <c r="J17" s="185"/>
      <c r="K17" s="226"/>
      <c r="L17" s="226"/>
      <c r="M17" s="226"/>
      <c r="N17" s="226"/>
      <c r="O17" s="226"/>
      <c r="P17" s="226"/>
      <c r="Q17" s="226"/>
      <c r="R17" s="226"/>
      <c r="S17" s="226"/>
    </row>
    <row r="18" spans="1:19" ht="22.5" customHeight="1">
      <c r="A18" s="227" t="s">
        <v>484</v>
      </c>
      <c r="B18" s="225"/>
      <c r="C18" s="175">
        <v>-15</v>
      </c>
      <c r="D18" s="185">
        <v>-15</v>
      </c>
      <c r="E18" s="185">
        <v>-15</v>
      </c>
      <c r="F18" s="185">
        <f t="shared" si="0"/>
        <v>-52</v>
      </c>
      <c r="G18" s="185">
        <f>-13</f>
        <v>-13</v>
      </c>
      <c r="H18" s="185">
        <f t="shared" ref="H18:J18" si="3">-13</f>
        <v>-13</v>
      </c>
      <c r="I18" s="185">
        <f t="shared" si="3"/>
        <v>-13</v>
      </c>
      <c r="J18" s="185">
        <f t="shared" si="3"/>
        <v>-13</v>
      </c>
      <c r="K18" s="226"/>
      <c r="L18" s="226"/>
      <c r="M18" s="226"/>
      <c r="N18" s="226"/>
      <c r="O18" s="226"/>
      <c r="P18" s="226"/>
      <c r="Q18" s="226"/>
      <c r="R18" s="226"/>
      <c r="S18" s="226"/>
    </row>
    <row r="19" spans="1:19" ht="22.5" customHeight="1">
      <c r="A19" s="227" t="s">
        <v>485</v>
      </c>
      <c r="B19" s="225"/>
      <c r="C19" s="175">
        <v>-904</v>
      </c>
      <c r="D19" s="185">
        <v>-960</v>
      </c>
      <c r="E19" s="185">
        <v>-322</v>
      </c>
      <c r="F19" s="185">
        <f>SUM(G19:J19)</f>
        <v>-388</v>
      </c>
      <c r="G19" s="185">
        <v>-97</v>
      </c>
      <c r="H19" s="185">
        <v>-97</v>
      </c>
      <c r="I19" s="185">
        <v>-97</v>
      </c>
      <c r="J19" s="185">
        <v>-97</v>
      </c>
      <c r="K19" s="226"/>
      <c r="L19" s="226"/>
      <c r="M19" s="226"/>
      <c r="N19" s="226"/>
      <c r="O19" s="226"/>
      <c r="P19" s="226"/>
      <c r="Q19" s="226"/>
      <c r="R19" s="226"/>
      <c r="S19" s="226"/>
    </row>
    <row r="20" spans="1:19" ht="22.5" customHeight="1">
      <c r="A20" s="227" t="s">
        <v>486</v>
      </c>
      <c r="B20" s="225"/>
      <c r="C20" s="175">
        <v>-5</v>
      </c>
      <c r="D20" s="185">
        <v>-4</v>
      </c>
      <c r="E20" s="185">
        <v>-5</v>
      </c>
      <c r="F20" s="185">
        <f t="shared" si="0"/>
        <v>-5</v>
      </c>
      <c r="G20" s="185">
        <f>-1</f>
        <v>-1</v>
      </c>
      <c r="H20" s="185">
        <f t="shared" ref="H20:I20" si="4">-1</f>
        <v>-1</v>
      </c>
      <c r="I20" s="185">
        <f t="shared" si="4"/>
        <v>-1</v>
      </c>
      <c r="J20" s="185">
        <v>-2</v>
      </c>
      <c r="K20" s="226"/>
      <c r="L20" s="226"/>
      <c r="M20" s="226"/>
      <c r="N20" s="226"/>
      <c r="O20" s="226"/>
      <c r="P20" s="226"/>
      <c r="Q20" s="226"/>
      <c r="R20" s="226"/>
      <c r="S20" s="226"/>
    </row>
    <row r="21" spans="1:19" ht="21" customHeight="1">
      <c r="A21" s="227" t="s">
        <v>680</v>
      </c>
      <c r="B21" s="225"/>
      <c r="C21" s="175">
        <v>-5</v>
      </c>
      <c r="D21" s="185"/>
      <c r="E21" s="185">
        <v>-8</v>
      </c>
      <c r="F21" s="185">
        <f t="shared" si="0"/>
        <v>-8</v>
      </c>
      <c r="G21" s="185">
        <v>-2</v>
      </c>
      <c r="H21" s="185">
        <v>-2</v>
      </c>
      <c r="I21" s="185">
        <v>-2</v>
      </c>
      <c r="J21" s="185">
        <v>-2</v>
      </c>
      <c r="K21" s="226"/>
      <c r="L21" s="226"/>
      <c r="M21" s="226"/>
      <c r="N21" s="226"/>
      <c r="O21" s="226"/>
      <c r="P21" s="226"/>
      <c r="Q21" s="226"/>
      <c r="R21" s="226"/>
      <c r="S21" s="226"/>
    </row>
    <row r="22" spans="1:19" ht="20.25" hidden="1" customHeight="1">
      <c r="A22" s="227" t="s">
        <v>487</v>
      </c>
      <c r="B22" s="225"/>
      <c r="C22" s="175"/>
      <c r="D22" s="185">
        <v>0</v>
      </c>
      <c r="E22" s="185">
        <v>0</v>
      </c>
      <c r="F22" s="185">
        <f t="shared" si="0"/>
        <v>0</v>
      </c>
      <c r="G22" s="185"/>
      <c r="H22" s="185"/>
      <c r="I22" s="185"/>
      <c r="J22" s="185"/>
      <c r="K22" s="226"/>
      <c r="L22" s="226"/>
      <c r="M22" s="226"/>
      <c r="N22" s="226"/>
      <c r="O22" s="226"/>
      <c r="P22" s="226"/>
      <c r="Q22" s="226"/>
      <c r="R22" s="226"/>
      <c r="S22" s="226"/>
    </row>
    <row r="23" spans="1:19" ht="21.75" customHeight="1">
      <c r="A23" s="227" t="s">
        <v>591</v>
      </c>
      <c r="B23" s="225"/>
      <c r="C23" s="175">
        <v>-82</v>
      </c>
      <c r="D23" s="185">
        <v>-116</v>
      </c>
      <c r="E23" s="185"/>
      <c r="F23" s="185">
        <f t="shared" si="0"/>
        <v>0</v>
      </c>
      <c r="G23" s="185"/>
      <c r="H23" s="185"/>
      <c r="I23" s="185"/>
      <c r="J23" s="185"/>
      <c r="K23" s="226"/>
      <c r="L23" s="226"/>
      <c r="M23" s="226"/>
      <c r="N23" s="226"/>
      <c r="O23" s="226"/>
      <c r="P23" s="226"/>
      <c r="Q23" s="226"/>
      <c r="R23" s="226"/>
      <c r="S23" s="226"/>
    </row>
    <row r="24" spans="1:19" ht="23.25" customHeight="1">
      <c r="A24" s="227" t="s">
        <v>632</v>
      </c>
      <c r="B24" s="225"/>
      <c r="C24" s="175">
        <v>-1</v>
      </c>
      <c r="D24" s="185"/>
      <c r="E24" s="185"/>
      <c r="F24" s="185">
        <f t="shared" si="0"/>
        <v>0</v>
      </c>
      <c r="G24" s="185"/>
      <c r="H24" s="185"/>
      <c r="I24" s="185"/>
      <c r="J24" s="185"/>
      <c r="K24" s="226"/>
      <c r="L24" s="226"/>
      <c r="M24" s="226"/>
      <c r="N24" s="226"/>
      <c r="O24" s="226"/>
      <c r="P24" s="226"/>
      <c r="Q24" s="226"/>
      <c r="R24" s="226"/>
      <c r="S24" s="226"/>
    </row>
    <row r="25" spans="1:19" ht="24.75" customHeight="1">
      <c r="A25" s="228" t="s">
        <v>678</v>
      </c>
      <c r="B25" s="225"/>
      <c r="C25" s="175">
        <v>-5506</v>
      </c>
      <c r="D25" s="185">
        <v>-5792</v>
      </c>
      <c r="E25" s="185">
        <v>-5792</v>
      </c>
      <c r="F25" s="185">
        <f t="shared" si="0"/>
        <v>-5880</v>
      </c>
      <c r="G25" s="185">
        <f>-1470</f>
        <v>-1470</v>
      </c>
      <c r="H25" s="185">
        <f t="shared" ref="H25:J25" si="5">-1470</f>
        <v>-1470</v>
      </c>
      <c r="I25" s="185">
        <f t="shared" si="5"/>
        <v>-1470</v>
      </c>
      <c r="J25" s="185">
        <f t="shared" si="5"/>
        <v>-1470</v>
      </c>
      <c r="K25" s="226"/>
      <c r="L25" s="226"/>
      <c r="M25" s="226"/>
      <c r="N25" s="226"/>
      <c r="O25" s="226"/>
      <c r="P25" s="226"/>
      <c r="Q25" s="226"/>
      <c r="R25" s="226"/>
      <c r="S25" s="226"/>
    </row>
    <row r="26" spans="1:19" ht="24.75" customHeight="1">
      <c r="A26" s="227" t="s">
        <v>586</v>
      </c>
      <c r="B26" s="225"/>
      <c r="C26" s="175">
        <v>-41</v>
      </c>
      <c r="D26" s="185"/>
      <c r="E26" s="185"/>
      <c r="F26" s="185">
        <f t="shared" si="0"/>
        <v>0</v>
      </c>
      <c r="G26" s="185"/>
      <c r="H26" s="185"/>
      <c r="I26" s="185"/>
      <c r="J26" s="185"/>
      <c r="K26" s="226"/>
      <c r="L26" s="226"/>
      <c r="M26" s="226"/>
      <c r="N26" s="226"/>
      <c r="O26" s="226"/>
      <c r="P26" s="226"/>
      <c r="Q26" s="226"/>
      <c r="R26" s="226"/>
      <c r="S26" s="226"/>
    </row>
    <row r="27" spans="1:19" ht="21" customHeight="1">
      <c r="A27" s="227" t="s">
        <v>679</v>
      </c>
      <c r="B27" s="225"/>
      <c r="C27" s="175">
        <v>-2</v>
      </c>
      <c r="D27" s="185"/>
      <c r="E27" s="185"/>
      <c r="F27" s="185">
        <f>SUM(G27:J27)</f>
        <v>-4</v>
      </c>
      <c r="G27" s="185">
        <f>-1</f>
        <v>-1</v>
      </c>
      <c r="H27" s="185">
        <f t="shared" ref="H27:J27" si="6">-1</f>
        <v>-1</v>
      </c>
      <c r="I27" s="185">
        <f t="shared" si="6"/>
        <v>-1</v>
      </c>
      <c r="J27" s="185">
        <f t="shared" si="6"/>
        <v>-1</v>
      </c>
      <c r="K27" s="226"/>
      <c r="L27" s="226"/>
      <c r="M27" s="226"/>
      <c r="N27" s="226"/>
      <c r="O27" s="226"/>
      <c r="P27" s="226"/>
      <c r="Q27" s="226"/>
      <c r="R27" s="226"/>
      <c r="S27" s="226"/>
    </row>
    <row r="28" spans="1:19" ht="22.5" customHeight="1">
      <c r="A28" s="227" t="s">
        <v>520</v>
      </c>
      <c r="B28" s="225"/>
      <c r="C28" s="175">
        <v>-54</v>
      </c>
      <c r="D28" s="185">
        <v>-56</v>
      </c>
      <c r="E28" s="185">
        <v>-69</v>
      </c>
      <c r="F28" s="185">
        <f t="shared" si="0"/>
        <v>-69</v>
      </c>
      <c r="G28" s="185">
        <v>-17</v>
      </c>
      <c r="H28" s="185">
        <v>-17</v>
      </c>
      <c r="I28" s="185">
        <v>-17</v>
      </c>
      <c r="J28" s="185">
        <f t="shared" ref="J28" si="7">-18</f>
        <v>-18</v>
      </c>
      <c r="K28" s="226"/>
      <c r="L28" s="226"/>
      <c r="M28" s="226"/>
      <c r="N28" s="226"/>
      <c r="O28" s="226"/>
      <c r="P28" s="226"/>
      <c r="Q28" s="226"/>
      <c r="R28" s="226"/>
      <c r="S28" s="226"/>
    </row>
    <row r="29" spans="1:19" ht="22.5" customHeight="1">
      <c r="A29" s="227" t="s">
        <v>526</v>
      </c>
      <c r="B29" s="225"/>
      <c r="C29" s="175">
        <v>-8</v>
      </c>
      <c r="D29" s="185">
        <v>-8</v>
      </c>
      <c r="E29" s="185">
        <v>-1</v>
      </c>
      <c r="F29" s="185">
        <f t="shared" si="0"/>
        <v>0</v>
      </c>
      <c r="G29" s="185"/>
      <c r="H29" s="185"/>
      <c r="I29" s="185"/>
      <c r="J29" s="185"/>
      <c r="K29" s="226"/>
      <c r="L29" s="226"/>
      <c r="M29" s="226"/>
      <c r="N29" s="226"/>
      <c r="O29" s="226"/>
      <c r="P29" s="226"/>
      <c r="Q29" s="226"/>
      <c r="R29" s="226"/>
      <c r="S29" s="226"/>
    </row>
    <row r="30" spans="1:19" ht="22.5" customHeight="1">
      <c r="A30" s="227" t="s">
        <v>496</v>
      </c>
      <c r="B30" s="225"/>
      <c r="C30" s="175">
        <v>-4</v>
      </c>
      <c r="D30" s="185"/>
      <c r="E30" s="185"/>
      <c r="F30" s="185">
        <f t="shared" si="0"/>
        <v>0</v>
      </c>
      <c r="G30" s="185"/>
      <c r="H30" s="185"/>
      <c r="I30" s="185"/>
      <c r="J30" s="185"/>
      <c r="K30" s="226"/>
      <c r="L30" s="226"/>
      <c r="M30" s="226"/>
      <c r="N30" s="226"/>
      <c r="O30" s="226"/>
      <c r="P30" s="226"/>
      <c r="Q30" s="226"/>
      <c r="R30" s="226"/>
      <c r="S30" s="226"/>
    </row>
    <row r="31" spans="1:19" ht="22.5" customHeight="1">
      <c r="A31" s="166" t="s">
        <v>634</v>
      </c>
      <c r="B31" s="225"/>
      <c r="C31" s="185">
        <v>-1</v>
      </c>
      <c r="D31" s="185">
        <v>-1</v>
      </c>
      <c r="E31" s="185">
        <v>-1</v>
      </c>
      <c r="F31" s="185">
        <f t="shared" si="0"/>
        <v>-1</v>
      </c>
      <c r="G31" s="185"/>
      <c r="H31" s="185">
        <v>-1</v>
      </c>
      <c r="I31" s="185"/>
      <c r="J31" s="185"/>
      <c r="K31" s="226"/>
      <c r="L31" s="226"/>
      <c r="M31" s="226"/>
      <c r="N31" s="226"/>
      <c r="O31" s="226"/>
      <c r="P31" s="226"/>
      <c r="Q31" s="226"/>
      <c r="R31" s="226"/>
      <c r="S31" s="226"/>
    </row>
    <row r="32" spans="1:19" ht="22.5" customHeight="1">
      <c r="A32" s="166" t="s">
        <v>638</v>
      </c>
      <c r="B32" s="225"/>
      <c r="C32" s="185">
        <v>-5</v>
      </c>
      <c r="D32" s="185">
        <v>-4</v>
      </c>
      <c r="E32" s="185">
        <v>-4</v>
      </c>
      <c r="F32" s="185">
        <f>SUM(G32:J32)</f>
        <v>-4</v>
      </c>
      <c r="G32" s="185">
        <f>-1</f>
        <v>-1</v>
      </c>
      <c r="H32" s="185">
        <f t="shared" ref="H32:J32" si="8">-1</f>
        <v>-1</v>
      </c>
      <c r="I32" s="185">
        <f t="shared" si="8"/>
        <v>-1</v>
      </c>
      <c r="J32" s="185">
        <f t="shared" si="8"/>
        <v>-1</v>
      </c>
      <c r="K32" s="226"/>
      <c r="L32" s="226"/>
      <c r="M32" s="226"/>
      <c r="N32" s="226"/>
      <c r="O32" s="226"/>
      <c r="P32" s="226"/>
      <c r="Q32" s="226"/>
      <c r="R32" s="226"/>
      <c r="S32" s="226"/>
    </row>
    <row r="33" spans="1:19" ht="22.5" customHeight="1">
      <c r="A33" s="166" t="s">
        <v>536</v>
      </c>
      <c r="B33" s="225"/>
      <c r="C33" s="185">
        <v>-3699</v>
      </c>
      <c r="D33" s="185">
        <v>-3580</v>
      </c>
      <c r="E33" s="185">
        <v>-3699</v>
      </c>
      <c r="F33" s="185">
        <f t="shared" si="0"/>
        <v>-3699</v>
      </c>
      <c r="G33" s="185">
        <v>-925</v>
      </c>
      <c r="H33" s="185">
        <v>-925</v>
      </c>
      <c r="I33" s="185">
        <v>-925</v>
      </c>
      <c r="J33" s="185">
        <v>-924</v>
      </c>
      <c r="K33" s="226"/>
      <c r="L33" s="226"/>
      <c r="M33" s="226"/>
      <c r="N33" s="226"/>
      <c r="O33" s="226"/>
      <c r="P33" s="226"/>
      <c r="Q33" s="226"/>
      <c r="R33" s="226"/>
      <c r="S33" s="226"/>
    </row>
    <row r="34" spans="1:19" s="160" customFormat="1" ht="34.5" customHeight="1">
      <c r="A34" s="171" t="s">
        <v>396</v>
      </c>
      <c r="B34" s="167">
        <v>1049</v>
      </c>
      <c r="C34" s="111">
        <f>SUM(C35:C49)</f>
        <v>-2239</v>
      </c>
      <c r="D34" s="111">
        <f t="shared" ref="D34:E34" si="9">SUM(D35:D49)</f>
        <v>-2120</v>
      </c>
      <c r="E34" s="111">
        <f t="shared" si="9"/>
        <v>-1954</v>
      </c>
      <c r="F34" s="111">
        <f t="shared" si="0"/>
        <v>-2220</v>
      </c>
      <c r="G34" s="111">
        <f t="shared" ref="G34" si="10">SUM(G35:G49)</f>
        <v>-555</v>
      </c>
      <c r="H34" s="111">
        <f t="shared" ref="H34" si="11">SUM(H35:H49)</f>
        <v>-555</v>
      </c>
      <c r="I34" s="111">
        <f>SUM(I35:I49)</f>
        <v>-555</v>
      </c>
      <c r="J34" s="111">
        <f t="shared" ref="J34" si="12">SUM(J35:J49)</f>
        <v>-555</v>
      </c>
      <c r="K34" s="226"/>
      <c r="L34" s="226"/>
      <c r="M34" s="226"/>
      <c r="N34" s="226"/>
      <c r="O34" s="226"/>
      <c r="P34" s="226"/>
      <c r="Q34" s="226"/>
      <c r="R34" s="226"/>
      <c r="S34" s="226"/>
    </row>
    <row r="35" spans="1:19" s="160" customFormat="1" ht="22.5" customHeight="1">
      <c r="A35" s="227" t="s">
        <v>495</v>
      </c>
      <c r="B35" s="167"/>
      <c r="C35" s="175">
        <v>-25</v>
      </c>
      <c r="D35" s="185">
        <v>-25</v>
      </c>
      <c r="E35" s="185">
        <v>-25</v>
      </c>
      <c r="F35" s="185">
        <f t="shared" si="0"/>
        <v>-48</v>
      </c>
      <c r="G35" s="185">
        <f>-12</f>
        <v>-12</v>
      </c>
      <c r="H35" s="185">
        <f t="shared" ref="H35:J35" si="13">-12</f>
        <v>-12</v>
      </c>
      <c r="I35" s="185">
        <f t="shared" si="13"/>
        <v>-12</v>
      </c>
      <c r="J35" s="185">
        <f t="shared" si="13"/>
        <v>-12</v>
      </c>
      <c r="K35" s="226"/>
      <c r="L35" s="226"/>
      <c r="M35" s="226"/>
      <c r="N35" s="226"/>
      <c r="O35" s="226"/>
      <c r="P35" s="226"/>
      <c r="Q35" s="226"/>
      <c r="R35" s="226"/>
      <c r="S35" s="226"/>
    </row>
    <row r="36" spans="1:19" s="160" customFormat="1" ht="22.5" customHeight="1">
      <c r="A36" s="227" t="s">
        <v>496</v>
      </c>
      <c r="B36" s="167"/>
      <c r="C36" s="175">
        <v>-17</v>
      </c>
      <c r="D36" s="185">
        <v>-16</v>
      </c>
      <c r="E36" s="185">
        <v>-16</v>
      </c>
      <c r="F36" s="185">
        <f t="shared" si="0"/>
        <v>-24</v>
      </c>
      <c r="G36" s="185">
        <f>-6</f>
        <v>-6</v>
      </c>
      <c r="H36" s="185">
        <f t="shared" ref="H36:J36" si="14">-6</f>
        <v>-6</v>
      </c>
      <c r="I36" s="185">
        <f t="shared" si="14"/>
        <v>-6</v>
      </c>
      <c r="J36" s="185">
        <f t="shared" si="14"/>
        <v>-6</v>
      </c>
      <c r="K36" s="226"/>
      <c r="L36" s="226"/>
      <c r="M36" s="226"/>
      <c r="N36" s="226"/>
      <c r="O36" s="226"/>
      <c r="P36" s="226"/>
      <c r="Q36" s="226"/>
      <c r="R36" s="226"/>
      <c r="S36" s="226"/>
    </row>
    <row r="37" spans="1:19" s="160" customFormat="1" ht="22.5" customHeight="1">
      <c r="A37" s="227" t="s">
        <v>497</v>
      </c>
      <c r="B37" s="167"/>
      <c r="C37" s="175">
        <v>-14</v>
      </c>
      <c r="D37" s="185">
        <v>-16</v>
      </c>
      <c r="E37" s="185">
        <v>-16</v>
      </c>
      <c r="F37" s="185">
        <f t="shared" si="0"/>
        <v>-20</v>
      </c>
      <c r="G37" s="185">
        <f>-5</f>
        <v>-5</v>
      </c>
      <c r="H37" s="185">
        <f t="shared" ref="H37:J37" si="15">-5</f>
        <v>-5</v>
      </c>
      <c r="I37" s="185">
        <f t="shared" si="15"/>
        <v>-5</v>
      </c>
      <c r="J37" s="185">
        <f t="shared" si="15"/>
        <v>-5</v>
      </c>
      <c r="K37" s="226"/>
      <c r="L37" s="226"/>
      <c r="M37" s="226"/>
      <c r="N37" s="226"/>
      <c r="O37" s="226"/>
      <c r="P37" s="226"/>
      <c r="Q37" s="226"/>
      <c r="R37" s="226"/>
      <c r="S37" s="226"/>
    </row>
    <row r="38" spans="1:19" s="160" customFormat="1" ht="22.5" customHeight="1">
      <c r="A38" s="227" t="s">
        <v>521</v>
      </c>
      <c r="B38" s="167"/>
      <c r="C38" s="175">
        <v>-31</v>
      </c>
      <c r="D38" s="185">
        <v>-32</v>
      </c>
      <c r="E38" s="185">
        <v>-32</v>
      </c>
      <c r="F38" s="185">
        <f>SUM(G38:J38)</f>
        <v>-40</v>
      </c>
      <c r="G38" s="185">
        <f>-10</f>
        <v>-10</v>
      </c>
      <c r="H38" s="185">
        <f t="shared" ref="H38:J38" si="16">-10</f>
        <v>-10</v>
      </c>
      <c r="I38" s="185">
        <f t="shared" si="16"/>
        <v>-10</v>
      </c>
      <c r="J38" s="185">
        <f t="shared" si="16"/>
        <v>-10</v>
      </c>
      <c r="K38" s="226"/>
      <c r="L38" s="226"/>
      <c r="M38" s="226"/>
      <c r="N38" s="226"/>
      <c r="O38" s="226"/>
      <c r="P38" s="226"/>
      <c r="Q38" s="226"/>
      <c r="R38" s="226"/>
      <c r="S38" s="226"/>
    </row>
    <row r="39" spans="1:19" s="160" customFormat="1" ht="22.5" customHeight="1">
      <c r="A39" s="227" t="s">
        <v>498</v>
      </c>
      <c r="B39" s="167"/>
      <c r="C39" s="175">
        <v>-203</v>
      </c>
      <c r="D39" s="185">
        <v>-216</v>
      </c>
      <c r="E39" s="185">
        <v>-200</v>
      </c>
      <c r="F39" s="185">
        <f t="shared" si="0"/>
        <v>-200</v>
      </c>
      <c r="G39" s="185">
        <v>-50</v>
      </c>
      <c r="H39" s="185">
        <v>-50</v>
      </c>
      <c r="I39" s="185">
        <v>-50</v>
      </c>
      <c r="J39" s="185">
        <v>-50</v>
      </c>
      <c r="K39" s="226"/>
      <c r="L39" s="226"/>
      <c r="M39" s="226"/>
      <c r="N39" s="226"/>
      <c r="O39" s="226"/>
      <c r="P39" s="226"/>
      <c r="Q39" s="226"/>
      <c r="R39" s="226"/>
      <c r="S39" s="226"/>
    </row>
    <row r="40" spans="1:19" s="160" customFormat="1" ht="22.5" hidden="1" customHeight="1">
      <c r="A40" s="227" t="s">
        <v>499</v>
      </c>
      <c r="B40" s="167"/>
      <c r="C40" s="175"/>
      <c r="D40" s="185">
        <v>0</v>
      </c>
      <c r="E40" s="185">
        <v>0</v>
      </c>
      <c r="F40" s="185">
        <f t="shared" si="0"/>
        <v>0</v>
      </c>
      <c r="G40" s="185"/>
      <c r="H40" s="185"/>
      <c r="I40" s="185"/>
      <c r="J40" s="185"/>
      <c r="K40" s="226"/>
      <c r="L40" s="226"/>
      <c r="M40" s="226"/>
      <c r="N40" s="226"/>
      <c r="O40" s="226"/>
      <c r="P40" s="226"/>
      <c r="Q40" s="226"/>
      <c r="R40" s="226"/>
      <c r="S40" s="226"/>
    </row>
    <row r="41" spans="1:19" s="160" customFormat="1" ht="22.5" customHeight="1">
      <c r="A41" s="227" t="s">
        <v>481</v>
      </c>
      <c r="B41" s="167"/>
      <c r="C41" s="175">
        <v>-997</v>
      </c>
      <c r="D41" s="185">
        <v>-932</v>
      </c>
      <c r="E41" s="185">
        <v>-932</v>
      </c>
      <c r="F41" s="185">
        <f t="shared" si="0"/>
        <v>-1056</v>
      </c>
      <c r="G41" s="185">
        <f>-264</f>
        <v>-264</v>
      </c>
      <c r="H41" s="185">
        <f t="shared" ref="H41:J41" si="17">-264</f>
        <v>-264</v>
      </c>
      <c r="I41" s="185">
        <f t="shared" si="17"/>
        <v>-264</v>
      </c>
      <c r="J41" s="185">
        <f t="shared" si="17"/>
        <v>-264</v>
      </c>
      <c r="K41" s="226"/>
      <c r="L41" s="226"/>
      <c r="M41" s="226"/>
      <c r="N41" s="226"/>
      <c r="O41" s="226"/>
      <c r="P41" s="226"/>
      <c r="Q41" s="226"/>
      <c r="R41" s="226"/>
      <c r="S41" s="226"/>
    </row>
    <row r="42" spans="1:19" s="160" customFormat="1" ht="22.5" customHeight="1">
      <c r="A42" s="227" t="s">
        <v>530</v>
      </c>
      <c r="B42" s="167"/>
      <c r="C42" s="175">
        <v>-462</v>
      </c>
      <c r="D42" s="185">
        <v>-483</v>
      </c>
      <c r="E42" s="185">
        <v>-333</v>
      </c>
      <c r="F42" s="185">
        <f t="shared" si="0"/>
        <v>-432</v>
      </c>
      <c r="G42" s="185">
        <v>-108</v>
      </c>
      <c r="H42" s="185">
        <v>-108</v>
      </c>
      <c r="I42" s="185">
        <v>-108</v>
      </c>
      <c r="J42" s="185">
        <v>-108</v>
      </c>
      <c r="K42" s="226"/>
      <c r="L42" s="226"/>
      <c r="M42" s="226"/>
      <c r="N42" s="226"/>
      <c r="O42" s="226"/>
      <c r="P42" s="226"/>
      <c r="Q42" s="226"/>
      <c r="R42" s="226"/>
      <c r="S42" s="226"/>
    </row>
    <row r="43" spans="1:19" s="160" customFormat="1" ht="22.5" hidden="1" customHeight="1">
      <c r="A43" s="228" t="s">
        <v>500</v>
      </c>
      <c r="B43" s="167"/>
      <c r="C43" s="175"/>
      <c r="D43" s="185">
        <v>0</v>
      </c>
      <c r="E43" s="185">
        <v>0</v>
      </c>
      <c r="F43" s="185">
        <f t="shared" si="0"/>
        <v>0</v>
      </c>
      <c r="G43" s="185"/>
      <c r="H43" s="185"/>
      <c r="I43" s="185"/>
      <c r="J43" s="185"/>
      <c r="K43" s="226"/>
      <c r="L43" s="226"/>
      <c r="M43" s="226"/>
      <c r="N43" s="226"/>
      <c r="O43" s="226"/>
      <c r="P43" s="226"/>
      <c r="Q43" s="226"/>
      <c r="R43" s="226"/>
      <c r="S43" s="226"/>
    </row>
    <row r="44" spans="1:19" s="160" customFormat="1" ht="22.5" hidden="1" customHeight="1">
      <c r="A44" s="228" t="s">
        <v>501</v>
      </c>
      <c r="B44" s="167"/>
      <c r="C44" s="175"/>
      <c r="D44" s="185">
        <v>0</v>
      </c>
      <c r="E44" s="185">
        <v>0</v>
      </c>
      <c r="F44" s="185">
        <f t="shared" si="0"/>
        <v>0</v>
      </c>
      <c r="G44" s="185"/>
      <c r="H44" s="185"/>
      <c r="I44" s="185"/>
      <c r="J44" s="185"/>
      <c r="K44" s="226"/>
      <c r="L44" s="226"/>
      <c r="M44" s="226"/>
      <c r="N44" s="226"/>
      <c r="O44" s="226"/>
      <c r="P44" s="226"/>
      <c r="Q44" s="226"/>
      <c r="R44" s="226"/>
      <c r="S44" s="226"/>
    </row>
    <row r="45" spans="1:19" s="160" customFormat="1" ht="22.5" hidden="1" customHeight="1">
      <c r="A45" s="228" t="s">
        <v>502</v>
      </c>
      <c r="B45" s="167"/>
      <c r="C45" s="175"/>
      <c r="D45" s="185">
        <v>0</v>
      </c>
      <c r="E45" s="185">
        <v>0</v>
      </c>
      <c r="F45" s="185">
        <f t="shared" si="0"/>
        <v>0</v>
      </c>
      <c r="G45" s="185"/>
      <c r="H45" s="185"/>
      <c r="I45" s="185"/>
      <c r="J45" s="185"/>
      <c r="K45" s="226"/>
      <c r="L45" s="226"/>
      <c r="M45" s="226"/>
      <c r="N45" s="226"/>
      <c r="O45" s="226"/>
      <c r="P45" s="226"/>
      <c r="Q45" s="226"/>
      <c r="R45" s="226"/>
      <c r="S45" s="226"/>
    </row>
    <row r="46" spans="1:19" s="160" customFormat="1" ht="22.5" hidden="1" customHeight="1">
      <c r="A46" s="227" t="s">
        <v>503</v>
      </c>
      <c r="B46" s="167"/>
      <c r="C46" s="175"/>
      <c r="D46" s="185">
        <v>0</v>
      </c>
      <c r="E46" s="185">
        <v>0</v>
      </c>
      <c r="F46" s="185">
        <f t="shared" si="0"/>
        <v>0</v>
      </c>
      <c r="G46" s="185"/>
      <c r="H46" s="185"/>
      <c r="I46" s="185"/>
      <c r="J46" s="185"/>
      <c r="K46" s="226"/>
      <c r="L46" s="226"/>
      <c r="M46" s="226"/>
      <c r="N46" s="226"/>
      <c r="O46" s="226"/>
      <c r="P46" s="226"/>
      <c r="Q46" s="226"/>
      <c r="R46" s="226"/>
      <c r="S46" s="226"/>
    </row>
    <row r="47" spans="1:19" s="160" customFormat="1" ht="22.5" customHeight="1">
      <c r="A47" s="228" t="s">
        <v>522</v>
      </c>
      <c r="B47" s="167"/>
      <c r="C47" s="175">
        <v>-487</v>
      </c>
      <c r="D47" s="185">
        <v>-400</v>
      </c>
      <c r="E47" s="185">
        <v>-400</v>
      </c>
      <c r="F47" s="185">
        <f t="shared" si="0"/>
        <v>-400</v>
      </c>
      <c r="G47" s="185">
        <v>-100</v>
      </c>
      <c r="H47" s="185">
        <v>-100</v>
      </c>
      <c r="I47" s="185">
        <v>-100</v>
      </c>
      <c r="J47" s="185">
        <v>-100</v>
      </c>
      <c r="K47" s="226"/>
      <c r="L47" s="226"/>
      <c r="M47" s="226"/>
      <c r="N47" s="226"/>
      <c r="O47" s="226"/>
      <c r="P47" s="226"/>
      <c r="Q47" s="226"/>
      <c r="R47" s="226"/>
      <c r="S47" s="226"/>
    </row>
    <row r="48" spans="1:19" s="160" customFormat="1" ht="46.5" hidden="1" customHeight="1">
      <c r="A48" s="171" t="s">
        <v>407</v>
      </c>
      <c r="B48" s="167">
        <v>1067</v>
      </c>
      <c r="C48" s="111"/>
      <c r="D48" s="111">
        <v>0</v>
      </c>
      <c r="E48" s="111"/>
      <c r="F48" s="185">
        <f t="shared" si="0"/>
        <v>0</v>
      </c>
      <c r="G48" s="185"/>
      <c r="H48" s="185"/>
      <c r="I48" s="185"/>
      <c r="J48" s="185"/>
      <c r="K48" s="226">
        <f t="shared" ref="K48" si="18">G48*1.12</f>
        <v>0</v>
      </c>
      <c r="L48" s="226"/>
      <c r="M48" s="226"/>
      <c r="N48" s="226"/>
      <c r="O48" s="226"/>
      <c r="P48" s="226"/>
      <c r="Q48" s="226"/>
      <c r="R48" s="226"/>
      <c r="S48" s="226"/>
    </row>
    <row r="49" spans="1:19" s="160" customFormat="1" ht="21" customHeight="1">
      <c r="A49" s="166" t="s">
        <v>681</v>
      </c>
      <c r="B49" s="353"/>
      <c r="C49" s="185">
        <v>-3</v>
      </c>
      <c r="D49" s="185"/>
      <c r="E49" s="185"/>
      <c r="F49" s="185">
        <f>SUM(G49:J49)</f>
        <v>0</v>
      </c>
      <c r="G49" s="185"/>
      <c r="H49" s="185"/>
      <c r="I49" s="185"/>
      <c r="J49" s="185"/>
      <c r="K49" s="226"/>
      <c r="L49" s="226"/>
      <c r="M49" s="226"/>
      <c r="N49" s="226"/>
      <c r="O49" s="226"/>
      <c r="P49" s="226"/>
      <c r="Q49" s="226"/>
      <c r="R49" s="226"/>
      <c r="S49" s="226"/>
    </row>
    <row r="50" spans="1:19" s="160" customFormat="1" ht="34.5" customHeight="1">
      <c r="A50" s="171" t="s">
        <v>239</v>
      </c>
      <c r="B50" s="167">
        <v>1073</v>
      </c>
      <c r="C50" s="111">
        <f>SUM(C51:C59)</f>
        <v>827</v>
      </c>
      <c r="D50" s="111">
        <f t="shared" ref="D50:J50" si="19">SUM(D51:D59)</f>
        <v>0</v>
      </c>
      <c r="E50" s="111">
        <f t="shared" si="19"/>
        <v>1043</v>
      </c>
      <c r="F50" s="185">
        <f>SUM(G50:J50)</f>
        <v>0</v>
      </c>
      <c r="G50" s="111">
        <f t="shared" si="19"/>
        <v>0</v>
      </c>
      <c r="H50" s="111">
        <f t="shared" si="19"/>
        <v>0</v>
      </c>
      <c r="I50" s="111">
        <f t="shared" si="19"/>
        <v>0</v>
      </c>
      <c r="J50" s="111">
        <f t="shared" si="19"/>
        <v>0</v>
      </c>
      <c r="K50" s="226"/>
      <c r="L50" s="226"/>
      <c r="M50" s="226"/>
      <c r="N50" s="226"/>
      <c r="O50" s="226"/>
      <c r="P50" s="226"/>
      <c r="Q50" s="226"/>
      <c r="R50" s="226"/>
      <c r="S50" s="226"/>
    </row>
    <row r="51" spans="1:19" s="160" customFormat="1" ht="23.25" hidden="1" customHeight="1">
      <c r="A51" s="228" t="s">
        <v>488</v>
      </c>
      <c r="B51" s="167"/>
      <c r="C51" s="175"/>
      <c r="D51" s="111">
        <v>0</v>
      </c>
      <c r="E51" s="111"/>
      <c r="F51" s="185">
        <f t="shared" ref="F51:F80" si="20">SUM(G51:J51)</f>
        <v>0</v>
      </c>
      <c r="G51" s="111"/>
      <c r="H51" s="111"/>
      <c r="I51" s="111"/>
      <c r="J51" s="111"/>
      <c r="K51" s="226"/>
      <c r="L51" s="226"/>
      <c r="M51" s="226"/>
      <c r="N51" s="226"/>
      <c r="O51" s="226"/>
      <c r="P51" s="226"/>
      <c r="Q51" s="226"/>
      <c r="R51" s="226"/>
      <c r="S51" s="226"/>
    </row>
    <row r="52" spans="1:19" s="160" customFormat="1" ht="22.5" customHeight="1">
      <c r="A52" s="228" t="s">
        <v>523</v>
      </c>
      <c r="B52" s="167"/>
      <c r="C52" s="175">
        <v>814</v>
      </c>
      <c r="D52" s="111"/>
      <c r="E52" s="185">
        <v>1043</v>
      </c>
      <c r="F52" s="185">
        <f t="shared" si="20"/>
        <v>0</v>
      </c>
      <c r="G52" s="111"/>
      <c r="H52" s="111"/>
      <c r="I52" s="111"/>
      <c r="J52" s="111"/>
      <c r="K52" s="226"/>
      <c r="L52" s="226"/>
      <c r="M52" s="226"/>
      <c r="N52" s="226"/>
      <c r="O52" s="226"/>
      <c r="P52" s="226"/>
      <c r="Q52" s="226"/>
      <c r="R52" s="226"/>
      <c r="S52" s="226"/>
    </row>
    <row r="53" spans="1:19" s="160" customFormat="1" ht="22.5" hidden="1" customHeight="1">
      <c r="A53" s="166" t="s">
        <v>531</v>
      </c>
      <c r="B53" s="167"/>
      <c r="C53" s="175"/>
      <c r="D53" s="111"/>
      <c r="E53" s="111"/>
      <c r="F53" s="185">
        <f t="shared" si="20"/>
        <v>0</v>
      </c>
      <c r="G53" s="111"/>
      <c r="H53" s="111"/>
      <c r="I53" s="111"/>
      <c r="J53" s="111"/>
      <c r="K53" s="226"/>
      <c r="L53" s="226"/>
      <c r="M53" s="226"/>
      <c r="N53" s="226"/>
      <c r="O53" s="226"/>
      <c r="P53" s="226"/>
      <c r="Q53" s="226"/>
      <c r="R53" s="226"/>
      <c r="S53" s="226"/>
    </row>
    <row r="54" spans="1:19" s="160" customFormat="1" ht="23.25" customHeight="1">
      <c r="A54" s="166" t="s">
        <v>489</v>
      </c>
      <c r="B54" s="167"/>
      <c r="C54" s="316">
        <v>13</v>
      </c>
      <c r="D54" s="111"/>
      <c r="E54" s="111"/>
      <c r="F54" s="185">
        <f t="shared" si="20"/>
        <v>0</v>
      </c>
      <c r="G54" s="111"/>
      <c r="H54" s="111"/>
      <c r="I54" s="111"/>
      <c r="J54" s="111"/>
      <c r="K54" s="226"/>
      <c r="L54" s="226"/>
      <c r="M54" s="226"/>
      <c r="N54" s="226"/>
      <c r="O54" s="226"/>
      <c r="P54" s="226"/>
      <c r="Q54" s="226"/>
      <c r="R54" s="226"/>
      <c r="S54" s="226"/>
    </row>
    <row r="55" spans="1:19" s="160" customFormat="1" ht="23.25" hidden="1" customHeight="1">
      <c r="A55" s="166" t="s">
        <v>531</v>
      </c>
      <c r="B55" s="167"/>
      <c r="C55" s="316"/>
      <c r="D55" s="111">
        <v>0</v>
      </c>
      <c r="E55" s="111"/>
      <c r="F55" s="185">
        <f t="shared" si="20"/>
        <v>0</v>
      </c>
      <c r="G55" s="111"/>
      <c r="H55" s="111"/>
      <c r="I55" s="111"/>
      <c r="J55" s="111"/>
      <c r="K55" s="226"/>
      <c r="L55" s="226"/>
      <c r="M55" s="226"/>
      <c r="N55" s="226"/>
      <c r="O55" s="226"/>
      <c r="P55" s="226"/>
      <c r="Q55" s="226"/>
      <c r="R55" s="226"/>
      <c r="S55" s="226"/>
    </row>
    <row r="56" spans="1:19" s="160" customFormat="1" ht="23.25" hidden="1" customHeight="1">
      <c r="A56" s="166" t="s">
        <v>539</v>
      </c>
      <c r="B56" s="167"/>
      <c r="C56" s="175"/>
      <c r="D56" s="111"/>
      <c r="E56" s="111"/>
      <c r="F56" s="185">
        <f t="shared" si="20"/>
        <v>0</v>
      </c>
      <c r="G56" s="111"/>
      <c r="H56" s="111"/>
      <c r="I56" s="111"/>
      <c r="J56" s="111"/>
      <c r="K56" s="226"/>
      <c r="L56" s="226"/>
      <c r="M56" s="226"/>
      <c r="N56" s="226"/>
      <c r="O56" s="226"/>
      <c r="P56" s="226"/>
      <c r="Q56" s="226"/>
      <c r="R56" s="226"/>
      <c r="S56" s="226"/>
    </row>
    <row r="57" spans="1:19" s="160" customFormat="1" ht="23.25" hidden="1" customHeight="1">
      <c r="A57" s="166" t="s">
        <v>537</v>
      </c>
      <c r="B57" s="167"/>
      <c r="C57" s="175"/>
      <c r="D57" s="111"/>
      <c r="E57" s="111"/>
      <c r="F57" s="185">
        <f t="shared" si="20"/>
        <v>0</v>
      </c>
      <c r="G57" s="111"/>
      <c r="H57" s="111"/>
      <c r="I57" s="111"/>
      <c r="J57" s="111"/>
      <c r="K57" s="226"/>
      <c r="L57" s="226"/>
      <c r="M57" s="226"/>
      <c r="N57" s="226"/>
      <c r="O57" s="226"/>
      <c r="P57" s="226"/>
      <c r="Q57" s="226"/>
      <c r="R57" s="226"/>
      <c r="S57" s="226"/>
    </row>
    <row r="58" spans="1:19" s="160" customFormat="1" ht="23.25" hidden="1" customHeight="1">
      <c r="A58" s="166" t="s">
        <v>538</v>
      </c>
      <c r="B58" s="167"/>
      <c r="C58" s="175"/>
      <c r="D58" s="111"/>
      <c r="E58" s="111"/>
      <c r="F58" s="185">
        <f t="shared" si="20"/>
        <v>0</v>
      </c>
      <c r="G58" s="111"/>
      <c r="H58" s="111"/>
      <c r="I58" s="111"/>
      <c r="J58" s="111"/>
      <c r="K58" s="226"/>
      <c r="L58" s="226"/>
      <c r="M58" s="226"/>
      <c r="N58" s="226"/>
      <c r="O58" s="226"/>
      <c r="P58" s="226"/>
      <c r="Q58" s="226"/>
      <c r="R58" s="226"/>
      <c r="S58" s="226"/>
    </row>
    <row r="59" spans="1:19" s="160" customFormat="1" ht="23.25" hidden="1" customHeight="1">
      <c r="A59" s="166" t="s">
        <v>544</v>
      </c>
      <c r="B59" s="167"/>
      <c r="C59" s="175"/>
      <c r="D59" s="185"/>
      <c r="E59" s="111"/>
      <c r="F59" s="185">
        <f t="shared" si="20"/>
        <v>0</v>
      </c>
      <c r="G59" s="111"/>
      <c r="H59" s="111"/>
      <c r="I59" s="111"/>
      <c r="J59" s="111"/>
      <c r="K59" s="226"/>
      <c r="L59" s="226"/>
      <c r="M59" s="226"/>
      <c r="N59" s="226"/>
      <c r="O59" s="226"/>
      <c r="P59" s="226"/>
      <c r="Q59" s="226"/>
      <c r="R59" s="226"/>
      <c r="S59" s="226"/>
    </row>
    <row r="60" spans="1:19" s="160" customFormat="1" ht="34.5" customHeight="1">
      <c r="A60" s="171" t="s">
        <v>401</v>
      </c>
      <c r="B60" s="167">
        <v>1086</v>
      </c>
      <c r="C60" s="111">
        <f>SUM(C61:C69)</f>
        <v>-125</v>
      </c>
      <c r="D60" s="111">
        <f t="shared" ref="D60:J60" si="21">SUM(D61:D69)</f>
        <v>-36</v>
      </c>
      <c r="E60" s="111">
        <f t="shared" si="21"/>
        <v>-36</v>
      </c>
      <c r="F60" s="185">
        <f t="shared" si="20"/>
        <v>0</v>
      </c>
      <c r="G60" s="111">
        <f t="shared" si="21"/>
        <v>0</v>
      </c>
      <c r="H60" s="111">
        <f t="shared" si="21"/>
        <v>0</v>
      </c>
      <c r="I60" s="111">
        <f t="shared" si="21"/>
        <v>0</v>
      </c>
      <c r="J60" s="111">
        <f t="shared" si="21"/>
        <v>0</v>
      </c>
      <c r="K60" s="226"/>
      <c r="L60" s="226"/>
      <c r="M60" s="226"/>
      <c r="N60" s="226"/>
      <c r="O60" s="226"/>
      <c r="P60" s="226"/>
      <c r="Q60" s="226"/>
      <c r="R60" s="226"/>
      <c r="S60" s="226"/>
    </row>
    <row r="61" spans="1:19" s="160" customFormat="1" ht="23.25" customHeight="1">
      <c r="A61" s="227" t="s">
        <v>682</v>
      </c>
      <c r="B61" s="167"/>
      <c r="C61" s="175">
        <v>-3</v>
      </c>
      <c r="D61" s="111"/>
      <c r="E61" s="111"/>
      <c r="F61" s="185">
        <f t="shared" si="20"/>
        <v>0</v>
      </c>
      <c r="G61" s="111"/>
      <c r="H61" s="111"/>
      <c r="I61" s="111"/>
      <c r="J61" s="111"/>
      <c r="K61" s="226"/>
      <c r="L61" s="226"/>
      <c r="M61" s="226"/>
      <c r="N61" s="226"/>
      <c r="O61" s="226"/>
      <c r="P61" s="226"/>
      <c r="Q61" s="226"/>
      <c r="R61" s="226"/>
      <c r="S61" s="226"/>
    </row>
    <row r="62" spans="1:19" s="160" customFormat="1" ht="23.25" customHeight="1">
      <c r="A62" s="227" t="s">
        <v>683</v>
      </c>
      <c r="B62" s="167"/>
      <c r="C62" s="175">
        <v>-64</v>
      </c>
      <c r="D62" s="111"/>
      <c r="E62" s="111"/>
      <c r="F62" s="185">
        <f t="shared" si="20"/>
        <v>0</v>
      </c>
      <c r="G62" s="111"/>
      <c r="H62" s="111"/>
      <c r="I62" s="111"/>
      <c r="J62" s="111"/>
      <c r="K62" s="226"/>
      <c r="L62" s="226"/>
      <c r="M62" s="226"/>
      <c r="N62" s="226"/>
      <c r="O62" s="226"/>
      <c r="P62" s="226"/>
      <c r="Q62" s="226"/>
      <c r="R62" s="226"/>
      <c r="S62" s="226"/>
    </row>
    <row r="63" spans="1:19" s="160" customFormat="1" ht="22.5" hidden="1" customHeight="1">
      <c r="A63" s="227" t="s">
        <v>587</v>
      </c>
      <c r="B63" s="167"/>
      <c r="C63" s="175"/>
      <c r="D63" s="111"/>
      <c r="E63" s="111"/>
      <c r="F63" s="185">
        <f t="shared" si="20"/>
        <v>0</v>
      </c>
      <c r="G63" s="111"/>
      <c r="H63" s="111"/>
      <c r="I63" s="111"/>
      <c r="J63" s="111"/>
      <c r="K63" s="226"/>
      <c r="L63" s="226"/>
      <c r="M63" s="226"/>
      <c r="N63" s="226"/>
      <c r="O63" s="226"/>
      <c r="P63" s="226"/>
      <c r="Q63" s="226"/>
      <c r="R63" s="226"/>
      <c r="S63" s="226"/>
    </row>
    <row r="64" spans="1:19" s="160" customFormat="1" ht="22.5" hidden="1" customHeight="1">
      <c r="A64" s="227" t="s">
        <v>588</v>
      </c>
      <c r="B64" s="167"/>
      <c r="C64" s="175"/>
      <c r="D64" s="111"/>
      <c r="E64" s="111"/>
      <c r="F64" s="185">
        <f t="shared" si="20"/>
        <v>0</v>
      </c>
      <c r="G64" s="111"/>
      <c r="H64" s="111"/>
      <c r="I64" s="111"/>
      <c r="J64" s="111"/>
      <c r="K64" s="226"/>
      <c r="L64" s="226"/>
      <c r="M64" s="226"/>
      <c r="N64" s="226"/>
      <c r="O64" s="226"/>
      <c r="P64" s="226"/>
      <c r="Q64" s="226"/>
      <c r="R64" s="226"/>
      <c r="S64" s="226"/>
    </row>
    <row r="65" spans="1:19" s="160" customFormat="1" ht="22.5" hidden="1" customHeight="1">
      <c r="A65" s="227" t="s">
        <v>491</v>
      </c>
      <c r="B65" s="167"/>
      <c r="C65" s="175"/>
      <c r="D65" s="111"/>
      <c r="E65" s="111"/>
      <c r="F65" s="185">
        <f t="shared" si="20"/>
        <v>0</v>
      </c>
      <c r="G65" s="111"/>
      <c r="H65" s="111"/>
      <c r="I65" s="111"/>
      <c r="J65" s="111"/>
      <c r="K65" s="226"/>
      <c r="L65" s="226"/>
      <c r="M65" s="226"/>
      <c r="N65" s="226"/>
      <c r="O65" s="226"/>
      <c r="P65" s="226"/>
      <c r="Q65" s="226"/>
      <c r="R65" s="226"/>
      <c r="S65" s="226"/>
    </row>
    <row r="66" spans="1:19" s="160" customFormat="1" ht="22.5" hidden="1" customHeight="1">
      <c r="A66" s="227" t="s">
        <v>490</v>
      </c>
      <c r="B66" s="167"/>
      <c r="C66" s="175"/>
      <c r="D66" s="111"/>
      <c r="E66" s="111"/>
      <c r="F66" s="185">
        <f t="shared" si="20"/>
        <v>0</v>
      </c>
      <c r="G66" s="111"/>
      <c r="H66" s="111"/>
      <c r="I66" s="111"/>
      <c r="J66" s="111"/>
      <c r="K66" s="226"/>
      <c r="L66" s="226"/>
      <c r="M66" s="226"/>
      <c r="N66" s="226"/>
      <c r="O66" s="226"/>
      <c r="P66" s="226"/>
      <c r="Q66" s="226"/>
      <c r="R66" s="226"/>
      <c r="S66" s="226"/>
    </row>
    <row r="67" spans="1:19" s="160" customFormat="1" ht="23.25" customHeight="1">
      <c r="A67" s="227" t="s">
        <v>490</v>
      </c>
      <c r="B67" s="167"/>
      <c r="C67" s="175">
        <v>-13</v>
      </c>
      <c r="D67" s="111"/>
      <c r="E67" s="111"/>
      <c r="F67" s="185">
        <f t="shared" si="20"/>
        <v>0</v>
      </c>
      <c r="G67" s="111"/>
      <c r="H67" s="111"/>
      <c r="I67" s="111"/>
      <c r="J67" s="111"/>
      <c r="K67" s="226"/>
      <c r="L67" s="226"/>
      <c r="M67" s="226"/>
      <c r="N67" s="226"/>
      <c r="O67" s="226"/>
      <c r="P67" s="226"/>
      <c r="Q67" s="226"/>
      <c r="R67" s="226"/>
      <c r="S67" s="226"/>
    </row>
    <row r="68" spans="1:19" s="160" customFormat="1" ht="22.5" customHeight="1">
      <c r="A68" s="166" t="s">
        <v>531</v>
      </c>
      <c r="B68" s="167"/>
      <c r="C68" s="175">
        <v>-11</v>
      </c>
      <c r="D68" s="111"/>
      <c r="E68" s="111"/>
      <c r="F68" s="185">
        <f t="shared" si="20"/>
        <v>0</v>
      </c>
      <c r="G68" s="111"/>
      <c r="H68" s="111"/>
      <c r="I68" s="111"/>
      <c r="J68" s="111"/>
      <c r="K68" s="226"/>
      <c r="L68" s="226"/>
      <c r="M68" s="226"/>
      <c r="N68" s="226"/>
      <c r="O68" s="226"/>
      <c r="P68" s="226"/>
      <c r="Q68" s="226"/>
      <c r="R68" s="226"/>
      <c r="S68" s="226"/>
    </row>
    <row r="69" spans="1:19" s="160" customFormat="1" ht="22.5" customHeight="1">
      <c r="A69" s="166" t="s">
        <v>552</v>
      </c>
      <c r="B69" s="167"/>
      <c r="C69" s="175">
        <v>-34</v>
      </c>
      <c r="D69" s="185">
        <v>-36</v>
      </c>
      <c r="E69" s="185">
        <f>D69</f>
        <v>-36</v>
      </c>
      <c r="F69" s="185">
        <f t="shared" si="20"/>
        <v>0</v>
      </c>
      <c r="G69" s="185"/>
      <c r="H69" s="185"/>
      <c r="I69" s="185"/>
      <c r="J69" s="185"/>
      <c r="K69" s="226"/>
      <c r="L69" s="226"/>
      <c r="M69" s="226"/>
      <c r="N69" s="226"/>
      <c r="O69" s="226"/>
      <c r="P69" s="226"/>
      <c r="Q69" s="226"/>
      <c r="R69" s="226"/>
      <c r="S69" s="226"/>
    </row>
    <row r="70" spans="1:19" s="160" customFormat="1" ht="34.5" customHeight="1">
      <c r="A70" s="290" t="s">
        <v>201</v>
      </c>
      <c r="B70" s="167">
        <v>1152</v>
      </c>
      <c r="C70" s="437">
        <f>SUM(C71:C74)</f>
        <v>538</v>
      </c>
      <c r="D70" s="437">
        <f t="shared" ref="D70:J70" si="22">SUM(D71:D74)</f>
        <v>540</v>
      </c>
      <c r="E70" s="437">
        <f t="shared" si="22"/>
        <v>540</v>
      </c>
      <c r="F70" s="111">
        <f t="shared" si="20"/>
        <v>540</v>
      </c>
      <c r="G70" s="437">
        <f t="shared" si="22"/>
        <v>135</v>
      </c>
      <c r="H70" s="437">
        <f t="shared" si="22"/>
        <v>135</v>
      </c>
      <c r="I70" s="437">
        <f t="shared" si="22"/>
        <v>135</v>
      </c>
      <c r="J70" s="437">
        <f t="shared" si="22"/>
        <v>135</v>
      </c>
      <c r="K70" s="226"/>
      <c r="L70" s="226"/>
      <c r="M70" s="226"/>
      <c r="N70" s="226"/>
      <c r="O70" s="226"/>
      <c r="P70" s="226"/>
      <c r="Q70" s="226"/>
      <c r="R70" s="226"/>
      <c r="S70" s="226"/>
    </row>
    <row r="71" spans="1:19" s="160" customFormat="1" ht="36.75" customHeight="1">
      <c r="A71" s="228" t="s">
        <v>492</v>
      </c>
      <c r="B71" s="167"/>
      <c r="C71" s="229">
        <v>528</v>
      </c>
      <c r="D71" s="185">
        <v>528</v>
      </c>
      <c r="E71" s="185">
        <f>D71</f>
        <v>528</v>
      </c>
      <c r="F71" s="185">
        <f t="shared" si="20"/>
        <v>528</v>
      </c>
      <c r="G71" s="185">
        <v>132</v>
      </c>
      <c r="H71" s="185">
        <v>132</v>
      </c>
      <c r="I71" s="185">
        <v>132</v>
      </c>
      <c r="J71" s="185">
        <v>132</v>
      </c>
      <c r="K71" s="226"/>
      <c r="L71" s="226"/>
      <c r="M71" s="226"/>
      <c r="N71" s="226"/>
      <c r="O71" s="226"/>
      <c r="P71" s="226"/>
      <c r="Q71" s="226"/>
      <c r="R71" s="226"/>
      <c r="S71" s="226"/>
    </row>
    <row r="72" spans="1:19" s="160" customFormat="1" ht="24" customHeight="1">
      <c r="A72" s="228" t="s">
        <v>592</v>
      </c>
      <c r="B72" s="167"/>
      <c r="C72" s="229">
        <v>10</v>
      </c>
      <c r="D72" s="185">
        <v>12</v>
      </c>
      <c r="E72" s="185">
        <f>D72</f>
        <v>12</v>
      </c>
      <c r="F72" s="185">
        <f t="shared" si="20"/>
        <v>12</v>
      </c>
      <c r="G72" s="185">
        <v>3</v>
      </c>
      <c r="H72" s="185">
        <v>3</v>
      </c>
      <c r="I72" s="185">
        <v>3</v>
      </c>
      <c r="J72" s="185">
        <v>3</v>
      </c>
      <c r="K72" s="226"/>
      <c r="L72" s="226"/>
      <c r="M72" s="226"/>
      <c r="N72" s="226"/>
      <c r="O72" s="226"/>
      <c r="P72" s="226"/>
      <c r="Q72" s="226"/>
      <c r="R72" s="226"/>
      <c r="S72" s="226"/>
    </row>
    <row r="73" spans="1:19" s="160" customFormat="1" ht="24" hidden="1" customHeight="1">
      <c r="A73" s="228" t="s">
        <v>589</v>
      </c>
      <c r="B73" s="167"/>
      <c r="C73" s="229"/>
      <c r="D73" s="185">
        <v>0</v>
      </c>
      <c r="E73" s="185"/>
      <c r="F73" s="185">
        <f t="shared" si="20"/>
        <v>0</v>
      </c>
      <c r="G73" s="185"/>
      <c r="H73" s="185"/>
      <c r="I73" s="185"/>
      <c r="J73" s="185"/>
      <c r="K73" s="226"/>
      <c r="L73" s="226"/>
      <c r="M73" s="226"/>
      <c r="N73" s="226"/>
      <c r="O73" s="226"/>
      <c r="P73" s="226"/>
      <c r="Q73" s="226"/>
      <c r="R73" s="226"/>
      <c r="S73" s="226"/>
    </row>
    <row r="74" spans="1:19" s="160" customFormat="1" ht="22.5" hidden="1" customHeight="1">
      <c r="A74" s="228" t="s">
        <v>572</v>
      </c>
      <c r="B74" s="167"/>
      <c r="C74" s="229"/>
      <c r="D74" s="185"/>
      <c r="E74" s="185"/>
      <c r="F74" s="185">
        <f t="shared" si="20"/>
        <v>0</v>
      </c>
      <c r="G74" s="185"/>
      <c r="H74" s="185"/>
      <c r="I74" s="185"/>
      <c r="J74" s="185"/>
      <c r="K74" s="226"/>
      <c r="L74" s="226"/>
      <c r="M74" s="226"/>
      <c r="N74" s="226"/>
      <c r="O74" s="226"/>
      <c r="P74" s="226"/>
      <c r="Q74" s="226"/>
      <c r="R74" s="226"/>
      <c r="S74" s="226"/>
    </row>
    <row r="75" spans="1:19" s="160" customFormat="1" ht="33" customHeight="1">
      <c r="A75" s="171" t="s">
        <v>420</v>
      </c>
      <c r="B75" s="167">
        <v>1162</v>
      </c>
      <c r="C75" s="111">
        <f>SUM(C76:C80)</f>
        <v>-392</v>
      </c>
      <c r="D75" s="111">
        <f t="shared" ref="D75:J75" si="23">SUM(D76:D80)</f>
        <v>-48</v>
      </c>
      <c r="E75" s="111">
        <f t="shared" si="23"/>
        <v>-48</v>
      </c>
      <c r="F75" s="111">
        <f t="shared" si="20"/>
        <v>-52</v>
      </c>
      <c r="G75" s="111">
        <f t="shared" si="23"/>
        <v>-13</v>
      </c>
      <c r="H75" s="111">
        <f t="shared" si="23"/>
        <v>-13</v>
      </c>
      <c r="I75" s="111">
        <f t="shared" si="23"/>
        <v>-13</v>
      </c>
      <c r="J75" s="111">
        <f t="shared" si="23"/>
        <v>-13</v>
      </c>
      <c r="K75" s="226"/>
      <c r="L75" s="226"/>
      <c r="M75" s="226"/>
      <c r="N75" s="226"/>
      <c r="O75" s="226"/>
      <c r="P75" s="226"/>
      <c r="Q75" s="226"/>
      <c r="R75" s="226"/>
      <c r="S75" s="226"/>
    </row>
    <row r="76" spans="1:19" s="160" customFormat="1" ht="22.5" customHeight="1">
      <c r="A76" s="227" t="s">
        <v>493</v>
      </c>
      <c r="B76" s="167"/>
      <c r="C76" s="175">
        <v>-45</v>
      </c>
      <c r="D76" s="185">
        <v>-48</v>
      </c>
      <c r="E76" s="185">
        <v>-48</v>
      </c>
      <c r="F76" s="185">
        <f t="shared" si="20"/>
        <v>-52</v>
      </c>
      <c r="G76" s="185">
        <f>-13</f>
        <v>-13</v>
      </c>
      <c r="H76" s="185">
        <f>-13</f>
        <v>-13</v>
      </c>
      <c r="I76" s="185">
        <f>-13</f>
        <v>-13</v>
      </c>
      <c r="J76" s="185">
        <f>-13</f>
        <v>-13</v>
      </c>
      <c r="K76" s="431" t="s">
        <v>716</v>
      </c>
      <c r="L76" s="226"/>
      <c r="M76" s="226"/>
      <c r="N76" s="226"/>
      <c r="O76" s="226"/>
      <c r="P76" s="226"/>
      <c r="Q76" s="226"/>
      <c r="R76" s="226"/>
      <c r="S76" s="226"/>
    </row>
    <row r="77" spans="1:19" s="160" customFormat="1" hidden="1">
      <c r="A77" s="227" t="s">
        <v>494</v>
      </c>
      <c r="B77" s="167"/>
      <c r="C77" s="175"/>
      <c r="D77" s="185" t="s">
        <v>584</v>
      </c>
      <c r="E77" s="111"/>
      <c r="F77" s="185">
        <f t="shared" si="20"/>
        <v>0</v>
      </c>
      <c r="G77" s="185"/>
      <c r="H77" s="185"/>
      <c r="I77" s="356"/>
      <c r="J77" s="356"/>
      <c r="K77" s="226"/>
      <c r="L77" s="226"/>
      <c r="M77" s="226"/>
      <c r="N77" s="226"/>
      <c r="O77" s="226"/>
      <c r="P77" s="226"/>
      <c r="Q77" s="226"/>
      <c r="R77" s="226"/>
      <c r="S77" s="226"/>
    </row>
    <row r="78" spans="1:19" s="160" customFormat="1" ht="21.75" hidden="1" customHeight="1">
      <c r="A78" s="230" t="s">
        <v>540</v>
      </c>
      <c r="B78" s="167"/>
      <c r="C78" s="175"/>
      <c r="D78" s="185"/>
      <c r="E78" s="111"/>
      <c r="F78" s="185">
        <f t="shared" si="20"/>
        <v>0</v>
      </c>
      <c r="G78" s="185"/>
      <c r="H78" s="185"/>
      <c r="I78" s="356"/>
      <c r="J78" s="356"/>
      <c r="K78" s="226"/>
    </row>
    <row r="79" spans="1:19" s="160" customFormat="1" ht="22.5" customHeight="1">
      <c r="A79" s="230" t="s">
        <v>684</v>
      </c>
      <c r="B79" s="167"/>
      <c r="C79" s="175">
        <v>-1</v>
      </c>
      <c r="D79" s="185"/>
      <c r="E79" s="111"/>
      <c r="F79" s="185">
        <f t="shared" si="20"/>
        <v>0</v>
      </c>
      <c r="G79" s="185"/>
      <c r="H79" s="185"/>
      <c r="I79" s="356"/>
      <c r="J79" s="356"/>
      <c r="K79" s="226"/>
    </row>
    <row r="80" spans="1:19" s="160" customFormat="1" ht="22.5" customHeight="1">
      <c r="A80" s="227" t="s">
        <v>537</v>
      </c>
      <c r="B80" s="167"/>
      <c r="C80" s="175">
        <v>-346</v>
      </c>
      <c r="D80" s="185"/>
      <c r="E80" s="111"/>
      <c r="F80" s="185">
        <f t="shared" si="20"/>
        <v>0</v>
      </c>
      <c r="G80" s="185"/>
      <c r="H80" s="185"/>
      <c r="I80" s="356"/>
      <c r="J80" s="356"/>
      <c r="K80" s="226"/>
    </row>
    <row r="81" spans="1:9" ht="24" customHeight="1">
      <c r="A81" s="9"/>
      <c r="C81" s="3"/>
      <c r="D81" s="8"/>
      <c r="E81" s="8"/>
      <c r="F81" s="8"/>
      <c r="G81" s="8"/>
      <c r="H81" s="8"/>
    </row>
    <row r="82" spans="1:9" s="100" customFormat="1" ht="18.75" customHeight="1">
      <c r="A82" s="421" t="s">
        <v>479</v>
      </c>
      <c r="B82" s="137"/>
      <c r="C82" s="507" t="s">
        <v>155</v>
      </c>
      <c r="D82" s="507"/>
      <c r="E82" s="507"/>
      <c r="F82" s="231"/>
      <c r="G82" s="509" t="s">
        <v>546</v>
      </c>
      <c r="H82" s="509"/>
      <c r="I82" s="509"/>
    </row>
    <row r="83" spans="1:9" s="139" customFormat="1">
      <c r="A83" s="406" t="s">
        <v>360</v>
      </c>
      <c r="C83" s="518" t="s">
        <v>524</v>
      </c>
      <c r="D83" s="518"/>
      <c r="E83" s="518"/>
      <c r="G83" s="512" t="s">
        <v>82</v>
      </c>
      <c r="H83" s="512"/>
      <c r="I83" s="512"/>
    </row>
    <row r="84" spans="1:9">
      <c r="A84" s="9"/>
      <c r="C84" s="3"/>
      <c r="D84" s="8"/>
      <c r="E84" s="8"/>
      <c r="F84" s="8"/>
      <c r="G84" s="8"/>
      <c r="H84" s="8"/>
    </row>
    <row r="85" spans="1:9">
      <c r="A85" s="9"/>
      <c r="C85" s="3"/>
      <c r="D85" s="8"/>
      <c r="E85" s="8"/>
      <c r="F85" s="8"/>
      <c r="G85" s="8"/>
      <c r="H85" s="8"/>
    </row>
    <row r="86" spans="1:9">
      <c r="A86" s="9"/>
      <c r="C86" s="3"/>
      <c r="D86" s="8"/>
      <c r="E86" s="8"/>
      <c r="F86" s="8"/>
      <c r="G86" s="8"/>
      <c r="H86" s="8"/>
    </row>
    <row r="87" spans="1:9">
      <c r="A87" s="9"/>
      <c r="C87" s="3"/>
      <c r="D87" s="8"/>
      <c r="E87" s="8"/>
      <c r="F87" s="8"/>
      <c r="G87" s="8"/>
      <c r="H87" s="8"/>
    </row>
    <row r="88" spans="1:9">
      <c r="A88" s="9"/>
      <c r="C88" s="3"/>
      <c r="D88" s="8"/>
      <c r="E88" s="8"/>
      <c r="F88" s="8"/>
      <c r="G88" s="8"/>
      <c r="H88" s="8"/>
    </row>
    <row r="89" spans="1:9">
      <c r="A89" s="9"/>
      <c r="C89" s="3"/>
      <c r="D89" s="8"/>
      <c r="E89" s="8"/>
      <c r="F89" s="8"/>
      <c r="G89" s="8"/>
      <c r="H89" s="8"/>
    </row>
    <row r="90" spans="1:9">
      <c r="A90" s="9"/>
      <c r="C90" s="3"/>
      <c r="D90" s="8"/>
      <c r="E90" s="8"/>
      <c r="F90" s="8"/>
      <c r="G90" s="8"/>
      <c r="H90" s="8"/>
    </row>
    <row r="91" spans="1:9">
      <c r="A91" s="9"/>
      <c r="C91" s="3"/>
      <c r="D91" s="8"/>
      <c r="E91" s="8"/>
      <c r="F91" s="8"/>
      <c r="G91" s="8"/>
      <c r="H91" s="8"/>
    </row>
    <row r="92" spans="1:9">
      <c r="A92" s="9"/>
      <c r="C92" s="3"/>
      <c r="D92" s="8"/>
      <c r="E92" s="8"/>
      <c r="F92" s="8"/>
      <c r="G92" s="8"/>
      <c r="H92" s="8"/>
    </row>
    <row r="93" spans="1:9">
      <c r="A93" s="9"/>
      <c r="C93" s="3"/>
      <c r="D93" s="8"/>
      <c r="E93" s="8"/>
      <c r="F93" s="8"/>
      <c r="G93" s="8"/>
      <c r="H93" s="8"/>
    </row>
    <row r="94" spans="1:9">
      <c r="A94" s="9"/>
      <c r="C94" s="3"/>
      <c r="D94" s="8"/>
      <c r="E94" s="8"/>
      <c r="F94" s="8"/>
      <c r="G94" s="8"/>
      <c r="H94" s="8"/>
    </row>
    <row r="95" spans="1:9">
      <c r="A95" s="9"/>
      <c r="C95" s="3"/>
      <c r="D95" s="8"/>
      <c r="E95" s="8"/>
      <c r="F95" s="8"/>
      <c r="G95" s="8"/>
      <c r="H95" s="8"/>
    </row>
    <row r="96" spans="1:9">
      <c r="A96" s="9"/>
      <c r="C96" s="3"/>
      <c r="D96" s="8"/>
      <c r="E96" s="8"/>
      <c r="F96" s="8"/>
      <c r="G96" s="8"/>
      <c r="H96" s="8"/>
    </row>
    <row r="97" spans="1:8">
      <c r="A97" s="9"/>
      <c r="C97" s="3"/>
      <c r="D97" s="8"/>
      <c r="E97" s="8"/>
      <c r="F97" s="8"/>
      <c r="G97" s="8"/>
      <c r="H97" s="8"/>
    </row>
    <row r="98" spans="1:8">
      <c r="A98" s="9"/>
      <c r="C98" s="3"/>
      <c r="D98" s="8"/>
      <c r="E98" s="8"/>
      <c r="F98" s="8"/>
      <c r="G98" s="8"/>
      <c r="H98" s="8"/>
    </row>
    <row r="99" spans="1:8">
      <c r="A99" s="9"/>
      <c r="C99" s="3"/>
      <c r="D99" s="8"/>
      <c r="E99" s="8"/>
      <c r="F99" s="8"/>
      <c r="G99" s="8"/>
      <c r="H99" s="8"/>
    </row>
    <row r="100" spans="1:8">
      <c r="A100" s="9"/>
      <c r="C100" s="3"/>
      <c r="D100" s="8"/>
      <c r="E100" s="8"/>
      <c r="F100" s="8"/>
      <c r="G100" s="8"/>
      <c r="H100" s="8"/>
    </row>
    <row r="101" spans="1:8">
      <c r="A101" s="9"/>
      <c r="C101" s="3"/>
      <c r="D101" s="8"/>
      <c r="E101" s="8"/>
      <c r="F101" s="8"/>
      <c r="G101" s="8"/>
      <c r="H101" s="8"/>
    </row>
    <row r="102" spans="1:8">
      <c r="A102" s="9"/>
      <c r="C102" s="3"/>
      <c r="D102" s="8"/>
      <c r="E102" s="8"/>
      <c r="F102" s="8"/>
      <c r="G102" s="8"/>
      <c r="H102" s="8"/>
    </row>
    <row r="103" spans="1:8">
      <c r="A103" s="9"/>
      <c r="C103" s="3"/>
      <c r="D103" s="8"/>
      <c r="E103" s="8"/>
      <c r="F103" s="8"/>
      <c r="G103" s="8"/>
      <c r="H103" s="8"/>
    </row>
    <row r="104" spans="1:8">
      <c r="A104" s="9"/>
      <c r="C104" s="3"/>
      <c r="D104" s="8"/>
      <c r="E104" s="8"/>
      <c r="F104" s="8"/>
      <c r="G104" s="8"/>
      <c r="H104" s="8"/>
    </row>
    <row r="105" spans="1:8">
      <c r="A105" s="9"/>
      <c r="C105" s="3"/>
      <c r="D105" s="8"/>
      <c r="E105" s="8"/>
      <c r="F105" s="8"/>
      <c r="G105" s="8"/>
      <c r="H105" s="8"/>
    </row>
    <row r="106" spans="1:8">
      <c r="A106" s="9"/>
      <c r="C106" s="3"/>
      <c r="D106" s="8"/>
      <c r="E106" s="8"/>
      <c r="F106" s="8"/>
      <c r="G106" s="8"/>
      <c r="H106" s="8"/>
    </row>
    <row r="107" spans="1:8">
      <c r="A107" s="9"/>
      <c r="C107" s="3"/>
      <c r="D107" s="8"/>
      <c r="E107" s="8"/>
      <c r="F107" s="8"/>
      <c r="G107" s="8"/>
      <c r="H107" s="8"/>
    </row>
    <row r="108" spans="1:8">
      <c r="A108" s="9"/>
      <c r="C108" s="3"/>
      <c r="D108" s="8"/>
      <c r="E108" s="8"/>
      <c r="F108" s="8"/>
      <c r="G108" s="8"/>
      <c r="H108" s="8"/>
    </row>
    <row r="109" spans="1:8">
      <c r="A109" s="9"/>
      <c r="C109" s="3"/>
      <c r="D109" s="8"/>
      <c r="E109" s="8"/>
      <c r="F109" s="8"/>
      <c r="G109" s="8"/>
      <c r="H109" s="8"/>
    </row>
    <row r="110" spans="1:8">
      <c r="A110" s="9"/>
      <c r="C110" s="3"/>
      <c r="D110" s="8"/>
      <c r="E110" s="8"/>
      <c r="F110" s="8"/>
      <c r="G110" s="8"/>
      <c r="H110" s="8"/>
    </row>
    <row r="111" spans="1:8">
      <c r="A111" s="9"/>
      <c r="C111" s="3"/>
      <c r="D111" s="8"/>
      <c r="E111" s="8"/>
      <c r="F111" s="8"/>
      <c r="G111" s="8"/>
      <c r="H111" s="8"/>
    </row>
    <row r="112" spans="1:8">
      <c r="A112" s="9"/>
      <c r="C112" s="3"/>
      <c r="D112" s="8"/>
      <c r="E112" s="8"/>
      <c r="F112" s="8"/>
      <c r="G112" s="8"/>
      <c r="H112" s="8"/>
    </row>
    <row r="113" spans="1:8">
      <c r="A113" s="9"/>
      <c r="C113" s="3"/>
      <c r="D113" s="8"/>
      <c r="E113" s="8"/>
      <c r="F113" s="8"/>
      <c r="G113" s="8"/>
      <c r="H113" s="8"/>
    </row>
    <row r="114" spans="1:8">
      <c r="A114" s="9"/>
      <c r="C114" s="3"/>
      <c r="D114" s="8"/>
      <c r="E114" s="8"/>
      <c r="F114" s="8"/>
      <c r="G114" s="8"/>
      <c r="H114" s="8"/>
    </row>
    <row r="115" spans="1:8">
      <c r="A115" s="9"/>
      <c r="C115" s="3"/>
      <c r="D115" s="8"/>
      <c r="E115" s="8"/>
      <c r="F115" s="8"/>
      <c r="G115" s="8"/>
      <c r="H115" s="8"/>
    </row>
    <row r="116" spans="1:8">
      <c r="A116" s="9"/>
      <c r="C116" s="3"/>
      <c r="D116" s="8"/>
      <c r="E116" s="8"/>
      <c r="F116" s="8"/>
      <c r="G116" s="8"/>
      <c r="H116" s="8"/>
    </row>
    <row r="117" spans="1:8">
      <c r="A117" s="9"/>
      <c r="C117" s="3"/>
      <c r="D117" s="8"/>
      <c r="E117" s="8"/>
      <c r="F117" s="8"/>
      <c r="G117" s="8"/>
      <c r="H117" s="8"/>
    </row>
    <row r="118" spans="1:8">
      <c r="A118" s="9"/>
      <c r="C118" s="3"/>
      <c r="D118" s="8"/>
      <c r="E118" s="8"/>
      <c r="F118" s="8"/>
      <c r="G118" s="8"/>
      <c r="H118" s="8"/>
    </row>
    <row r="119" spans="1:8">
      <c r="A119" s="9"/>
      <c r="C119" s="3"/>
      <c r="D119" s="8"/>
      <c r="E119" s="8"/>
      <c r="F119" s="8"/>
      <c r="G119" s="8"/>
      <c r="H119" s="8"/>
    </row>
    <row r="120" spans="1:8">
      <c r="A120" s="9"/>
      <c r="C120" s="3"/>
      <c r="D120" s="8"/>
      <c r="E120" s="8"/>
      <c r="F120" s="8"/>
      <c r="G120" s="8"/>
      <c r="H120" s="8"/>
    </row>
    <row r="121" spans="1:8">
      <c r="A121" s="9"/>
      <c r="C121" s="3"/>
      <c r="D121" s="8"/>
      <c r="E121" s="8"/>
      <c r="F121" s="8"/>
      <c r="G121" s="8"/>
      <c r="H121" s="8"/>
    </row>
    <row r="122" spans="1:8">
      <c r="A122" s="9"/>
      <c r="C122" s="3"/>
      <c r="D122" s="8"/>
      <c r="E122" s="8"/>
      <c r="F122" s="8"/>
      <c r="G122" s="8"/>
      <c r="H122" s="8"/>
    </row>
    <row r="123" spans="1:8">
      <c r="A123" s="9"/>
      <c r="C123" s="3"/>
      <c r="D123" s="8"/>
      <c r="E123" s="8"/>
      <c r="F123" s="8"/>
      <c r="G123" s="8"/>
      <c r="H123" s="8"/>
    </row>
    <row r="124" spans="1:8">
      <c r="A124" s="9"/>
      <c r="C124" s="3"/>
      <c r="D124" s="8"/>
      <c r="E124" s="8"/>
      <c r="F124" s="8"/>
      <c r="G124" s="8"/>
      <c r="H124" s="8"/>
    </row>
    <row r="125" spans="1:8">
      <c r="A125" s="9"/>
      <c r="C125" s="3"/>
      <c r="D125" s="8"/>
      <c r="E125" s="8"/>
      <c r="F125" s="8"/>
      <c r="G125" s="8"/>
      <c r="H125" s="8"/>
    </row>
    <row r="126" spans="1:8">
      <c r="A126" s="9"/>
      <c r="C126" s="3"/>
      <c r="D126" s="8"/>
      <c r="E126" s="8"/>
      <c r="F126" s="8"/>
      <c r="G126" s="8"/>
      <c r="H126" s="8"/>
    </row>
    <row r="127" spans="1:8">
      <c r="A127" s="9"/>
      <c r="C127" s="3"/>
      <c r="D127" s="8"/>
      <c r="E127" s="8"/>
      <c r="F127" s="8"/>
      <c r="G127" s="8"/>
      <c r="H127" s="8"/>
    </row>
    <row r="128" spans="1:8">
      <c r="A128" s="9"/>
      <c r="C128" s="3"/>
      <c r="D128" s="8"/>
      <c r="E128" s="8"/>
      <c r="F128" s="8"/>
      <c r="G128" s="8"/>
      <c r="H128" s="8"/>
    </row>
    <row r="129" spans="1:8">
      <c r="A129" s="9"/>
      <c r="C129" s="3"/>
      <c r="D129" s="8"/>
      <c r="E129" s="8"/>
      <c r="F129" s="8"/>
      <c r="G129" s="8"/>
      <c r="H129" s="8"/>
    </row>
    <row r="130" spans="1:8">
      <c r="A130" s="9"/>
      <c r="C130" s="3"/>
      <c r="D130" s="8"/>
      <c r="E130" s="8"/>
      <c r="F130" s="8"/>
      <c r="G130" s="8"/>
      <c r="H130" s="8"/>
    </row>
    <row r="131" spans="1:8">
      <c r="A131" s="9"/>
      <c r="C131" s="3"/>
      <c r="D131" s="8"/>
      <c r="E131" s="8"/>
      <c r="F131" s="8"/>
      <c r="G131" s="8"/>
      <c r="H131" s="8"/>
    </row>
    <row r="132" spans="1:8">
      <c r="A132" s="9"/>
      <c r="C132" s="3"/>
      <c r="D132" s="8"/>
      <c r="E132" s="8"/>
      <c r="F132" s="8"/>
      <c r="G132" s="8"/>
      <c r="H132" s="8"/>
    </row>
    <row r="133" spans="1:8">
      <c r="A133" s="9"/>
      <c r="C133" s="3"/>
      <c r="D133" s="8"/>
      <c r="E133" s="8"/>
      <c r="F133" s="8"/>
      <c r="G133" s="8"/>
      <c r="H133" s="8"/>
    </row>
    <row r="134" spans="1:8">
      <c r="A134" s="9"/>
      <c r="C134" s="3"/>
      <c r="D134" s="8"/>
      <c r="E134" s="8"/>
      <c r="F134" s="8"/>
      <c r="G134" s="8"/>
      <c r="H134" s="8"/>
    </row>
    <row r="135" spans="1:8">
      <c r="A135" s="9"/>
      <c r="C135" s="3"/>
      <c r="D135" s="8"/>
      <c r="E135" s="8"/>
      <c r="F135" s="8"/>
      <c r="G135" s="8"/>
      <c r="H135" s="8"/>
    </row>
    <row r="136" spans="1:8">
      <c r="A136" s="9"/>
      <c r="C136" s="3"/>
      <c r="D136" s="8"/>
      <c r="E136" s="8"/>
      <c r="F136" s="8"/>
      <c r="G136" s="8"/>
      <c r="H136" s="8"/>
    </row>
    <row r="137" spans="1:8">
      <c r="A137" s="9"/>
      <c r="C137" s="3"/>
      <c r="D137" s="8"/>
      <c r="E137" s="8"/>
      <c r="F137" s="8"/>
      <c r="G137" s="8"/>
      <c r="H137" s="8"/>
    </row>
    <row r="138" spans="1:8">
      <c r="A138" s="9"/>
    </row>
    <row r="139" spans="1:8">
      <c r="A139" s="10"/>
    </row>
    <row r="140" spans="1:8">
      <c r="A140" s="10"/>
    </row>
    <row r="141" spans="1:8">
      <c r="A141" s="10"/>
    </row>
    <row r="142" spans="1:8">
      <c r="A142" s="10"/>
    </row>
    <row r="143" spans="1:8">
      <c r="A143" s="10"/>
    </row>
    <row r="144" spans="1:8">
      <c r="A144" s="10"/>
    </row>
    <row r="145" spans="1:1">
      <c r="A145" s="10"/>
    </row>
    <row r="146" spans="1:1">
      <c r="A146" s="10"/>
    </row>
    <row r="147" spans="1:1">
      <c r="A147" s="10"/>
    </row>
    <row r="148" spans="1:1">
      <c r="A148" s="10"/>
    </row>
    <row r="149" spans="1:1">
      <c r="A149" s="10"/>
    </row>
    <row r="150" spans="1:1">
      <c r="A150" s="10"/>
    </row>
    <row r="151" spans="1:1">
      <c r="A151" s="10"/>
    </row>
    <row r="152" spans="1:1">
      <c r="A152" s="10"/>
    </row>
    <row r="153" spans="1:1">
      <c r="A153" s="10"/>
    </row>
    <row r="154" spans="1:1">
      <c r="A154" s="10"/>
    </row>
    <row r="155" spans="1:1">
      <c r="A155" s="10"/>
    </row>
    <row r="156" spans="1:1">
      <c r="A156" s="10"/>
    </row>
    <row r="157" spans="1:1">
      <c r="A157" s="10"/>
    </row>
    <row r="158" spans="1:1">
      <c r="A158" s="10"/>
    </row>
    <row r="159" spans="1:1">
      <c r="A159" s="10"/>
    </row>
    <row r="160" spans="1:1">
      <c r="A160" s="10"/>
    </row>
    <row r="161" spans="1:1">
      <c r="A161" s="10"/>
    </row>
    <row r="162" spans="1:1">
      <c r="A162" s="10"/>
    </row>
    <row r="163" spans="1:1">
      <c r="A163" s="10"/>
    </row>
    <row r="164" spans="1:1">
      <c r="A164" s="10"/>
    </row>
    <row r="165" spans="1:1">
      <c r="A165" s="10"/>
    </row>
    <row r="166" spans="1:1">
      <c r="A166" s="10"/>
    </row>
    <row r="167" spans="1:1">
      <c r="A167" s="10"/>
    </row>
    <row r="168" spans="1:1">
      <c r="A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  <row r="256" spans="1:1">
      <c r="A256" s="10"/>
    </row>
    <row r="257" spans="1:1">
      <c r="A257" s="10"/>
    </row>
    <row r="258" spans="1:1">
      <c r="A258" s="10"/>
    </row>
    <row r="259" spans="1:1">
      <c r="A259" s="10"/>
    </row>
    <row r="260" spans="1:1">
      <c r="A260" s="10"/>
    </row>
    <row r="261" spans="1:1">
      <c r="A261" s="10"/>
    </row>
    <row r="262" spans="1:1">
      <c r="A262" s="10"/>
    </row>
    <row r="263" spans="1:1">
      <c r="A263" s="10"/>
    </row>
    <row r="264" spans="1:1">
      <c r="A264" s="10"/>
    </row>
    <row r="265" spans="1:1">
      <c r="A265" s="10"/>
    </row>
    <row r="266" spans="1:1">
      <c r="A266" s="10"/>
    </row>
    <row r="267" spans="1:1">
      <c r="A267" s="10"/>
    </row>
    <row r="268" spans="1:1">
      <c r="A268" s="10"/>
    </row>
    <row r="269" spans="1:1">
      <c r="A269" s="10"/>
    </row>
    <row r="270" spans="1:1">
      <c r="A270" s="10"/>
    </row>
    <row r="271" spans="1:1">
      <c r="A271" s="10"/>
    </row>
    <row r="272" spans="1:1">
      <c r="A272" s="10"/>
    </row>
    <row r="273" spans="1:1">
      <c r="A273" s="10"/>
    </row>
    <row r="274" spans="1:1">
      <c r="A274" s="10"/>
    </row>
    <row r="275" spans="1:1">
      <c r="A275" s="10"/>
    </row>
    <row r="276" spans="1:1">
      <c r="A276" s="10"/>
    </row>
    <row r="277" spans="1:1">
      <c r="A277" s="10"/>
    </row>
    <row r="278" spans="1:1">
      <c r="A278" s="10"/>
    </row>
    <row r="279" spans="1:1">
      <c r="A279" s="10"/>
    </row>
    <row r="280" spans="1:1">
      <c r="A280" s="10"/>
    </row>
    <row r="281" spans="1:1">
      <c r="A281" s="10"/>
    </row>
    <row r="282" spans="1:1">
      <c r="A282" s="10"/>
    </row>
    <row r="283" spans="1:1">
      <c r="A283" s="10"/>
    </row>
    <row r="284" spans="1:1">
      <c r="A284" s="10"/>
    </row>
    <row r="285" spans="1:1">
      <c r="A285" s="10"/>
    </row>
    <row r="286" spans="1:1">
      <c r="A286" s="10"/>
    </row>
    <row r="287" spans="1:1">
      <c r="A287" s="10"/>
    </row>
    <row r="288" spans="1:1">
      <c r="A288" s="10"/>
    </row>
    <row r="289" spans="1:1">
      <c r="A289" s="10"/>
    </row>
    <row r="290" spans="1:1">
      <c r="A290" s="10"/>
    </row>
    <row r="291" spans="1:1">
      <c r="A291" s="10"/>
    </row>
    <row r="292" spans="1:1">
      <c r="A292" s="10"/>
    </row>
    <row r="293" spans="1:1">
      <c r="A293" s="10"/>
    </row>
    <row r="294" spans="1:1">
      <c r="A294" s="10"/>
    </row>
    <row r="295" spans="1:1">
      <c r="A295" s="10"/>
    </row>
    <row r="296" spans="1:1">
      <c r="A296" s="10"/>
    </row>
    <row r="297" spans="1:1">
      <c r="A297" s="10"/>
    </row>
    <row r="298" spans="1:1">
      <c r="A298" s="10"/>
    </row>
    <row r="299" spans="1:1">
      <c r="A299" s="10"/>
    </row>
    <row r="300" spans="1:1">
      <c r="A300" s="10"/>
    </row>
    <row r="301" spans="1:1">
      <c r="A301" s="10"/>
    </row>
    <row r="302" spans="1:1">
      <c r="A302" s="10"/>
    </row>
    <row r="303" spans="1:1">
      <c r="A303" s="10"/>
    </row>
    <row r="304" spans="1:1">
      <c r="A304" s="10"/>
    </row>
    <row r="305" spans="1:1">
      <c r="A305" s="10"/>
    </row>
  </sheetData>
  <sheetProtection algorithmName="SHA-512" hashValue="JHneTfYz3+sv4yzqHYuv77UyVgYszj9LLzc1wqL5JYaKqBPG4PCDrXYTqikcH4zEMeKxPH4CgS5LYQPGYAkrnQ==" saltValue="cQRpp9Clr9TcSGdatM+U/A==" spinCount="100000" sheet="1" objects="1" scenarios="1" selectLockedCells="1" selectUnlockedCells="1"/>
  <mergeCells count="12">
    <mergeCell ref="A2:H2"/>
    <mergeCell ref="G82:I82"/>
    <mergeCell ref="G83:I83"/>
    <mergeCell ref="A4:A5"/>
    <mergeCell ref="B4:B5"/>
    <mergeCell ref="C4:C5"/>
    <mergeCell ref="D4:D5"/>
    <mergeCell ref="E4:E5"/>
    <mergeCell ref="F4:F5"/>
    <mergeCell ref="G4:J4"/>
    <mergeCell ref="C82:E82"/>
    <mergeCell ref="C83:E83"/>
  </mergeCells>
  <pageMargins left="0.59055118110236227" right="0.59055118110236227" top="0.98425196850393704" bottom="0.59055118110236227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96"/>
  <sheetViews>
    <sheetView view="pageBreakPreview" zoomScale="60" zoomScaleNormal="75" workbookViewId="0">
      <selection activeCell="K10" sqref="K10"/>
    </sheetView>
  </sheetViews>
  <sheetFormatPr defaultColWidth="77.88671875" defaultRowHeight="21"/>
  <cols>
    <col min="1" max="1" width="107.44140625" style="142" customWidth="1"/>
    <col min="2" max="2" width="16" style="141" customWidth="1"/>
    <col min="3" max="5" width="18.44140625" style="141" customWidth="1"/>
    <col min="6" max="6" width="18.44140625" style="142" customWidth="1"/>
    <col min="7" max="7" width="17.109375" style="142" customWidth="1"/>
    <col min="8" max="8" width="16.5546875" style="142" customWidth="1"/>
    <col min="9" max="9" width="17.5546875" style="142" customWidth="1"/>
    <col min="10" max="10" width="18.44140625" style="142" customWidth="1"/>
    <col min="11" max="11" width="10" style="142" customWidth="1"/>
    <col min="12" max="12" width="12.5546875" style="142" customWidth="1"/>
    <col min="13" max="255" width="9.109375" style="142" customWidth="1"/>
    <col min="256" max="16384" width="77.88671875" style="142"/>
  </cols>
  <sheetData>
    <row r="1" spans="1:21" ht="26.25" customHeight="1">
      <c r="J1" s="247" t="s">
        <v>348</v>
      </c>
    </row>
    <row r="2" spans="1:21" ht="32.25" customHeight="1">
      <c r="A2" s="519" t="s">
        <v>108</v>
      </c>
      <c r="B2" s="519"/>
      <c r="C2" s="519"/>
      <c r="D2" s="519"/>
      <c r="E2" s="519"/>
      <c r="F2" s="519"/>
      <c r="G2" s="519"/>
      <c r="H2" s="519"/>
      <c r="I2" s="519"/>
      <c r="J2" s="519"/>
    </row>
    <row r="3" spans="1:21" ht="27.75" customHeight="1">
      <c r="A3" s="141"/>
      <c r="F3" s="141"/>
      <c r="G3" s="141"/>
      <c r="H3" s="141"/>
      <c r="I3" s="141"/>
      <c r="J3" s="248" t="s">
        <v>355</v>
      </c>
    </row>
    <row r="4" spans="1:21" ht="38.25" customHeight="1">
      <c r="A4" s="490" t="s">
        <v>163</v>
      </c>
      <c r="B4" s="520" t="s">
        <v>17</v>
      </c>
      <c r="C4" s="483" t="s">
        <v>650</v>
      </c>
      <c r="D4" s="483" t="s">
        <v>651</v>
      </c>
      <c r="E4" s="481" t="s">
        <v>652</v>
      </c>
      <c r="F4" s="488" t="s">
        <v>653</v>
      </c>
      <c r="G4" s="488" t="s">
        <v>324</v>
      </c>
      <c r="H4" s="488"/>
      <c r="I4" s="488"/>
      <c r="J4" s="488"/>
    </row>
    <row r="5" spans="1:21" ht="78" customHeight="1">
      <c r="A5" s="490"/>
      <c r="B5" s="520"/>
      <c r="C5" s="484"/>
      <c r="D5" s="484"/>
      <c r="E5" s="482"/>
      <c r="F5" s="488"/>
      <c r="G5" s="408" t="s">
        <v>125</v>
      </c>
      <c r="H5" s="408" t="s">
        <v>126</v>
      </c>
      <c r="I5" s="408" t="s">
        <v>127</v>
      </c>
      <c r="J5" s="408" t="s">
        <v>63</v>
      </c>
    </row>
    <row r="6" spans="1:21" ht="30" customHeight="1">
      <c r="A6" s="249">
        <v>1</v>
      </c>
      <c r="B6" s="407">
        <v>2</v>
      </c>
      <c r="C6" s="407">
        <v>3</v>
      </c>
      <c r="D6" s="407">
        <v>4</v>
      </c>
      <c r="E6" s="407">
        <v>5</v>
      </c>
      <c r="F6" s="407">
        <v>6</v>
      </c>
      <c r="G6" s="407">
        <v>7</v>
      </c>
      <c r="H6" s="407">
        <v>8</v>
      </c>
      <c r="I6" s="407">
        <v>9</v>
      </c>
      <c r="J6" s="407">
        <v>10</v>
      </c>
    </row>
    <row r="7" spans="1:21" ht="35.25" customHeight="1">
      <c r="A7" s="521" t="s">
        <v>106</v>
      </c>
      <c r="B7" s="522"/>
      <c r="C7" s="522"/>
      <c r="D7" s="522"/>
      <c r="E7" s="522"/>
      <c r="F7" s="522"/>
      <c r="G7" s="522"/>
      <c r="H7" s="522"/>
      <c r="I7" s="522"/>
      <c r="J7" s="523"/>
    </row>
    <row r="8" spans="1:21" ht="45.75" customHeight="1">
      <c r="A8" s="250" t="s">
        <v>51</v>
      </c>
      <c r="B8" s="251">
        <v>2000</v>
      </c>
      <c r="C8" s="117">
        <v>3603</v>
      </c>
      <c r="D8" s="117">
        <v>12473</v>
      </c>
      <c r="E8" s="117">
        <f>C17</f>
        <v>9796</v>
      </c>
      <c r="F8" s="117">
        <f>E17</f>
        <v>14982</v>
      </c>
      <c r="G8" s="117">
        <f>F8</f>
        <v>14982</v>
      </c>
      <c r="H8" s="117">
        <f>G17</f>
        <v>15074</v>
      </c>
      <c r="I8" s="117">
        <f>H17</f>
        <v>15170</v>
      </c>
      <c r="J8" s="117">
        <f>I17</f>
        <v>15274</v>
      </c>
      <c r="L8" s="432"/>
      <c r="M8" s="432"/>
      <c r="N8" s="432"/>
      <c r="O8" s="432"/>
      <c r="P8" s="432"/>
      <c r="Q8" s="432"/>
      <c r="R8" s="432"/>
      <c r="S8" s="432"/>
      <c r="T8" s="432"/>
      <c r="U8" s="432"/>
    </row>
    <row r="9" spans="1:21" ht="39.75" customHeight="1">
      <c r="A9" s="207" t="s">
        <v>245</v>
      </c>
      <c r="B9" s="398">
        <v>2010</v>
      </c>
      <c r="C9" s="116">
        <f>SUM(C10:C10)</f>
        <v>-688</v>
      </c>
      <c r="D9" s="116">
        <f>SUM(D10:D10)</f>
        <v>-576</v>
      </c>
      <c r="E9" s="116">
        <f>SUM(E10:E10)</f>
        <v>-576</v>
      </c>
      <c r="F9" s="116">
        <f>SUM(G9:J9)</f>
        <v>-45</v>
      </c>
      <c r="G9" s="116">
        <f>SUM(G10:G10)</f>
        <v>-10</v>
      </c>
      <c r="H9" s="116">
        <f>SUM(H10:H10)</f>
        <v>-11</v>
      </c>
      <c r="I9" s="116">
        <f>SUM(I10:I10)</f>
        <v>-12</v>
      </c>
      <c r="J9" s="116">
        <f>SUM(J10:J10)</f>
        <v>-12</v>
      </c>
      <c r="L9" s="432"/>
      <c r="M9" s="432"/>
      <c r="N9" s="432"/>
      <c r="O9" s="432"/>
      <c r="P9" s="432"/>
      <c r="Q9" s="432"/>
      <c r="R9" s="432"/>
      <c r="S9" s="432"/>
    </row>
    <row r="10" spans="1:21" ht="47.25" customHeight="1">
      <c r="A10" s="420" t="s">
        <v>575</v>
      </c>
      <c r="B10" s="398">
        <v>2011</v>
      </c>
      <c r="C10" s="116">
        <f>-ROUND('I. Фін результат'!C76*10%,0)</f>
        <v>-688</v>
      </c>
      <c r="D10" s="116">
        <f>-ROUND('I. Фін результат'!D76*10%,0)</f>
        <v>-576</v>
      </c>
      <c r="E10" s="116">
        <f>-ROUND('I. Фін результат'!E76*10%,0)</f>
        <v>-576</v>
      </c>
      <c r="F10" s="116">
        <f>SUM(G10:J10)</f>
        <v>-45</v>
      </c>
      <c r="G10" s="116">
        <f>-ROUND(SUM('I. Фін результат'!$G76)*10%,0)</f>
        <v>-10</v>
      </c>
      <c r="H10" s="116">
        <f>-ROUND(SUM('I. Фін результат'!$G76:H76)*10%,0)-SUM($G10)</f>
        <v>-11</v>
      </c>
      <c r="I10" s="116">
        <f>-ROUND(SUM('I. Фін результат'!$G76:I76)*10%,0)-SUM($G10:H10)</f>
        <v>-12</v>
      </c>
      <c r="J10" s="116">
        <f>-ROUND(SUM('I. Фін результат'!$G76:J76)*10%,0)-SUM($G10:I10)</f>
        <v>-12</v>
      </c>
      <c r="K10" s="341"/>
      <c r="L10" s="432"/>
      <c r="M10" s="432"/>
      <c r="N10" s="432"/>
      <c r="O10" s="432"/>
      <c r="P10" s="432"/>
      <c r="Q10" s="432"/>
      <c r="R10" s="432"/>
      <c r="S10" s="432"/>
    </row>
    <row r="11" spans="1:21" ht="32.25" customHeight="1">
      <c r="A11" s="420" t="s">
        <v>130</v>
      </c>
      <c r="B11" s="398">
        <v>2020</v>
      </c>
      <c r="C11" s="116"/>
      <c r="D11" s="116"/>
      <c r="E11" s="117">
        <f t="shared" ref="E11:E16" si="0">D11</f>
        <v>0</v>
      </c>
      <c r="F11" s="116">
        <f t="shared" ref="F11:F16" si="1">SUM(G11:J11)</f>
        <v>0</v>
      </c>
      <c r="G11" s="116"/>
      <c r="H11" s="116"/>
      <c r="I11" s="116"/>
      <c r="J11" s="116"/>
      <c r="L11" s="432"/>
      <c r="M11" s="432"/>
      <c r="N11" s="432"/>
      <c r="O11" s="432"/>
      <c r="P11" s="432"/>
      <c r="Q11" s="432"/>
      <c r="R11" s="432"/>
      <c r="S11" s="432"/>
    </row>
    <row r="12" spans="1:21" ht="32.25" customHeight="1">
      <c r="A12" s="420" t="s">
        <v>60</v>
      </c>
      <c r="B12" s="398">
        <v>2030</v>
      </c>
      <c r="C12" s="116" t="s">
        <v>195</v>
      </c>
      <c r="D12" s="116" t="s">
        <v>195</v>
      </c>
      <c r="E12" s="116" t="str">
        <f t="shared" si="0"/>
        <v>(    )</v>
      </c>
      <c r="F12" s="116">
        <f t="shared" si="1"/>
        <v>0</v>
      </c>
      <c r="G12" s="116" t="s">
        <v>195</v>
      </c>
      <c r="H12" s="116" t="s">
        <v>195</v>
      </c>
      <c r="I12" s="116" t="s">
        <v>195</v>
      </c>
      <c r="J12" s="116" t="s">
        <v>195</v>
      </c>
      <c r="L12" s="432"/>
      <c r="M12" s="432"/>
      <c r="N12" s="432"/>
      <c r="O12" s="432"/>
      <c r="P12" s="432"/>
      <c r="Q12" s="432"/>
      <c r="R12" s="432"/>
      <c r="S12" s="432"/>
    </row>
    <row r="13" spans="1:21" ht="28.5" customHeight="1">
      <c r="A13" s="420" t="s">
        <v>359</v>
      </c>
      <c r="B13" s="398">
        <v>2031</v>
      </c>
      <c r="C13" s="116" t="s">
        <v>195</v>
      </c>
      <c r="D13" s="116" t="s">
        <v>195</v>
      </c>
      <c r="E13" s="116" t="str">
        <f t="shared" si="0"/>
        <v>(    )</v>
      </c>
      <c r="F13" s="116">
        <f t="shared" si="1"/>
        <v>0</v>
      </c>
      <c r="G13" s="116" t="s">
        <v>195</v>
      </c>
      <c r="H13" s="116" t="s">
        <v>195</v>
      </c>
      <c r="I13" s="116" t="s">
        <v>195</v>
      </c>
      <c r="J13" s="116" t="s">
        <v>195</v>
      </c>
      <c r="L13" s="432"/>
      <c r="M13" s="432"/>
      <c r="N13" s="432"/>
      <c r="O13" s="432"/>
      <c r="P13" s="432"/>
      <c r="Q13" s="432"/>
      <c r="R13" s="432"/>
      <c r="S13" s="432"/>
    </row>
    <row r="14" spans="1:21" ht="32.25" customHeight="1">
      <c r="A14" s="420" t="s">
        <v>25</v>
      </c>
      <c r="B14" s="398">
        <v>2040</v>
      </c>
      <c r="C14" s="116" t="s">
        <v>195</v>
      </c>
      <c r="D14" s="116" t="s">
        <v>195</v>
      </c>
      <c r="E14" s="116" t="str">
        <f t="shared" si="0"/>
        <v>(    )</v>
      </c>
      <c r="F14" s="116">
        <f t="shared" si="1"/>
        <v>0</v>
      </c>
      <c r="G14" s="116" t="s">
        <v>195</v>
      </c>
      <c r="H14" s="116" t="s">
        <v>195</v>
      </c>
      <c r="I14" s="116" t="s">
        <v>195</v>
      </c>
      <c r="J14" s="116" t="s">
        <v>195</v>
      </c>
      <c r="L14" s="432"/>
      <c r="M14" s="432"/>
      <c r="N14" s="432"/>
      <c r="O14" s="432"/>
      <c r="P14" s="432"/>
      <c r="Q14" s="432"/>
      <c r="R14" s="432"/>
      <c r="S14" s="432"/>
    </row>
    <row r="15" spans="1:21" ht="35.25" customHeight="1">
      <c r="A15" s="420" t="s">
        <v>90</v>
      </c>
      <c r="B15" s="398">
        <v>2050</v>
      </c>
      <c r="C15" s="116" t="s">
        <v>195</v>
      </c>
      <c r="D15" s="116" t="s">
        <v>195</v>
      </c>
      <c r="E15" s="116" t="str">
        <f t="shared" si="0"/>
        <v>(    )</v>
      </c>
      <c r="F15" s="116">
        <f t="shared" si="1"/>
        <v>0</v>
      </c>
      <c r="G15" s="116" t="s">
        <v>195</v>
      </c>
      <c r="H15" s="116" t="s">
        <v>195</v>
      </c>
      <c r="I15" s="116" t="s">
        <v>195</v>
      </c>
      <c r="J15" s="116" t="s">
        <v>195</v>
      </c>
      <c r="L15" s="432"/>
      <c r="M15" s="432"/>
      <c r="N15" s="432"/>
      <c r="O15" s="432"/>
      <c r="P15" s="432"/>
      <c r="Q15" s="432"/>
      <c r="R15" s="432"/>
      <c r="S15" s="432"/>
    </row>
    <row r="16" spans="1:21" ht="33.75" customHeight="1">
      <c r="A16" s="420" t="s">
        <v>91</v>
      </c>
      <c r="B16" s="398">
        <v>2060</v>
      </c>
      <c r="C16" s="116" t="s">
        <v>195</v>
      </c>
      <c r="D16" s="116" t="s">
        <v>195</v>
      </c>
      <c r="E16" s="116" t="str">
        <f t="shared" si="0"/>
        <v>(    )</v>
      </c>
      <c r="F16" s="116">
        <f t="shared" si="1"/>
        <v>0</v>
      </c>
      <c r="G16" s="116" t="s">
        <v>195</v>
      </c>
      <c r="H16" s="116" t="s">
        <v>195</v>
      </c>
      <c r="I16" s="116" t="s">
        <v>195</v>
      </c>
      <c r="J16" s="116" t="s">
        <v>195</v>
      </c>
      <c r="L16" s="432"/>
      <c r="M16" s="432"/>
      <c r="N16" s="432"/>
      <c r="O16" s="432"/>
      <c r="P16" s="432"/>
      <c r="Q16" s="432"/>
      <c r="R16" s="432"/>
      <c r="S16" s="432"/>
    </row>
    <row r="17" spans="1:19" ht="48.75" customHeight="1">
      <c r="A17" s="250" t="s">
        <v>52</v>
      </c>
      <c r="B17" s="251">
        <v>2070</v>
      </c>
      <c r="C17" s="117">
        <f>SUM(C8,C9,C11,C12,C14,C15,C16)+'I. Фін результат'!C75</f>
        <v>9796</v>
      </c>
      <c r="D17" s="117">
        <f>SUM(D8,D9,D11,D12,D14,D15,D16)+'I. Фін результат'!D75</f>
        <v>17659</v>
      </c>
      <c r="E17" s="117">
        <f>SUM(E8,E9,E11,E12,E14,E15,E16)+'I. Фін результат'!E75</f>
        <v>14982</v>
      </c>
      <c r="F17" s="117">
        <f>SUM(F8,F9,F11,F12,F14,F15,F16)+'I. Фін результат'!F75</f>
        <v>15387</v>
      </c>
      <c r="G17" s="117">
        <f>SUM(G8,G9,G11,G12,G14,G15,G16)+'I. Фін результат'!G75</f>
        <v>15074</v>
      </c>
      <c r="H17" s="117">
        <f>SUM(H8,H9,H11,H12,H14,H15,H16)+'I. Фін результат'!H75</f>
        <v>15170</v>
      </c>
      <c r="I17" s="117">
        <f>SUM(I8,I9,I11,I12,I14,I15,I16)+'I. Фін результат'!I75</f>
        <v>15274</v>
      </c>
      <c r="J17" s="117">
        <f>SUM(J8,J9,J11,J12,J14,J15,J16)+'I. Фін результат'!J75</f>
        <v>15387</v>
      </c>
      <c r="L17" s="432"/>
      <c r="M17" s="432"/>
      <c r="N17" s="432"/>
      <c r="O17" s="432"/>
      <c r="P17" s="432"/>
      <c r="Q17" s="432"/>
      <c r="R17" s="432"/>
      <c r="S17" s="432"/>
    </row>
    <row r="18" spans="1:19" ht="36" customHeight="1">
      <c r="A18" s="524" t="s">
        <v>361</v>
      </c>
      <c r="B18" s="524"/>
      <c r="C18" s="524"/>
      <c r="D18" s="524"/>
      <c r="E18" s="524"/>
      <c r="F18" s="524"/>
      <c r="G18" s="524"/>
      <c r="H18" s="524"/>
      <c r="I18" s="524"/>
      <c r="J18" s="524"/>
      <c r="L18" s="432"/>
      <c r="M18" s="432"/>
      <c r="N18" s="432"/>
      <c r="O18" s="432"/>
      <c r="P18" s="432"/>
      <c r="Q18" s="432"/>
      <c r="R18" s="432"/>
      <c r="S18" s="432"/>
    </row>
    <row r="19" spans="1:19" ht="54" customHeight="1">
      <c r="A19" s="250" t="s">
        <v>362</v>
      </c>
      <c r="B19" s="251">
        <v>2110</v>
      </c>
      <c r="C19" s="117">
        <f>SUM(C20:C26)</f>
        <v>16661</v>
      </c>
      <c r="D19" s="117">
        <f t="shared" ref="D19:E19" si="2">SUM(D20:D26)</f>
        <v>16920</v>
      </c>
      <c r="E19" s="117">
        <f t="shared" si="2"/>
        <v>18803</v>
      </c>
      <c r="F19" s="117">
        <f>SUM(G19:J19)</f>
        <v>18928</v>
      </c>
      <c r="G19" s="117">
        <f t="shared" ref="G19" si="3">SUM(G20:G26)</f>
        <v>4732</v>
      </c>
      <c r="H19" s="117">
        <f>SUM(H20:H26)</f>
        <v>4732</v>
      </c>
      <c r="I19" s="117">
        <f t="shared" ref="I19" si="4">SUM(I20:I26)</f>
        <v>4732</v>
      </c>
      <c r="J19" s="117">
        <f t="shared" ref="J19" si="5">SUM(J20:J26)</f>
        <v>4732</v>
      </c>
      <c r="L19" s="432"/>
      <c r="M19" s="432"/>
      <c r="N19" s="432"/>
      <c r="O19" s="432"/>
      <c r="P19" s="432"/>
      <c r="Q19" s="432"/>
      <c r="R19" s="432"/>
      <c r="S19" s="432"/>
    </row>
    <row r="20" spans="1:19" ht="34.5" customHeight="1">
      <c r="A20" s="420" t="s">
        <v>331</v>
      </c>
      <c r="B20" s="398">
        <v>2111</v>
      </c>
      <c r="C20" s="116">
        <v>15793</v>
      </c>
      <c r="D20" s="116">
        <v>14400</v>
      </c>
      <c r="E20" s="116">
        <v>16126</v>
      </c>
      <c r="F20" s="116">
        <f>SUM(G20:J20)</f>
        <v>16000</v>
      </c>
      <c r="G20" s="116">
        <v>4000</v>
      </c>
      <c r="H20" s="116">
        <v>4000</v>
      </c>
      <c r="I20" s="116">
        <v>4000</v>
      </c>
      <c r="J20" s="116">
        <v>4000</v>
      </c>
      <c r="L20" s="432"/>
      <c r="M20" s="432"/>
      <c r="N20" s="432"/>
      <c r="O20" s="432"/>
      <c r="P20" s="432"/>
      <c r="Q20" s="432"/>
      <c r="R20" s="432"/>
      <c r="S20" s="432"/>
    </row>
    <row r="21" spans="1:19" s="252" customFormat="1" ht="31.5" customHeight="1">
      <c r="A21" s="207" t="s">
        <v>332</v>
      </c>
      <c r="B21" s="249">
        <v>2112</v>
      </c>
      <c r="C21" s="116" t="s">
        <v>195</v>
      </c>
      <c r="D21" s="116" t="s">
        <v>195</v>
      </c>
      <c r="E21" s="116" t="str">
        <f t="shared" ref="E21:E42" si="6">D21</f>
        <v>(    )</v>
      </c>
      <c r="F21" s="116">
        <f t="shared" ref="F21:F43" si="7">SUM(G21:J21)</f>
        <v>0</v>
      </c>
      <c r="G21" s="116" t="s">
        <v>195</v>
      </c>
      <c r="H21" s="116" t="s">
        <v>195</v>
      </c>
      <c r="I21" s="116" t="s">
        <v>195</v>
      </c>
      <c r="J21" s="116" t="s">
        <v>195</v>
      </c>
      <c r="L21" s="432"/>
      <c r="M21" s="432"/>
      <c r="N21" s="432"/>
      <c r="O21" s="432"/>
      <c r="P21" s="432"/>
      <c r="Q21" s="432"/>
      <c r="R21" s="432"/>
      <c r="S21" s="432"/>
    </row>
    <row r="22" spans="1:19" ht="34.5" customHeight="1">
      <c r="A22" s="420" t="s">
        <v>75</v>
      </c>
      <c r="B22" s="398">
        <v>2113</v>
      </c>
      <c r="C22" s="116"/>
      <c r="D22" s="116"/>
      <c r="E22" s="116">
        <f t="shared" si="6"/>
        <v>0</v>
      </c>
      <c r="F22" s="116">
        <f t="shared" si="7"/>
        <v>0</v>
      </c>
      <c r="G22" s="116"/>
      <c r="H22" s="116"/>
      <c r="I22" s="116"/>
      <c r="J22" s="116"/>
      <c r="L22" s="432"/>
      <c r="M22" s="432"/>
      <c r="N22" s="432"/>
      <c r="O22" s="432"/>
      <c r="P22" s="432"/>
      <c r="Q22" s="432"/>
      <c r="R22" s="432"/>
      <c r="S22" s="432"/>
    </row>
    <row r="23" spans="1:19" ht="34.5" customHeight="1">
      <c r="A23" s="420" t="s">
        <v>83</v>
      </c>
      <c r="B23" s="398">
        <v>2114</v>
      </c>
      <c r="C23" s="116"/>
      <c r="D23" s="116"/>
      <c r="E23" s="116">
        <f t="shared" si="6"/>
        <v>0</v>
      </c>
      <c r="F23" s="116">
        <f t="shared" si="7"/>
        <v>0</v>
      </c>
      <c r="G23" s="116"/>
      <c r="H23" s="116"/>
      <c r="I23" s="116"/>
      <c r="J23" s="116"/>
      <c r="L23" s="432"/>
      <c r="M23" s="432"/>
      <c r="N23" s="432"/>
      <c r="O23" s="432"/>
      <c r="P23" s="432"/>
      <c r="Q23" s="432"/>
      <c r="R23" s="432"/>
      <c r="S23" s="432"/>
    </row>
    <row r="24" spans="1:19" ht="34.5" customHeight="1">
      <c r="A24" s="420" t="s">
        <v>292</v>
      </c>
      <c r="B24" s="398">
        <v>2115</v>
      </c>
      <c r="C24" s="116"/>
      <c r="D24" s="116"/>
      <c r="E24" s="116">
        <f t="shared" si="6"/>
        <v>0</v>
      </c>
      <c r="F24" s="116">
        <f t="shared" si="7"/>
        <v>0</v>
      </c>
      <c r="G24" s="116"/>
      <c r="H24" s="116"/>
      <c r="I24" s="116"/>
      <c r="J24" s="116"/>
      <c r="L24" s="432"/>
      <c r="M24" s="432"/>
      <c r="N24" s="432"/>
      <c r="O24" s="432"/>
      <c r="P24" s="432"/>
      <c r="Q24" s="432"/>
      <c r="R24" s="432"/>
      <c r="S24" s="432"/>
    </row>
    <row r="25" spans="1:19" ht="34.5" customHeight="1">
      <c r="A25" s="420" t="s">
        <v>363</v>
      </c>
      <c r="B25" s="398">
        <v>2116</v>
      </c>
      <c r="C25" s="116">
        <v>868</v>
      </c>
      <c r="D25" s="116">
        <v>2520</v>
      </c>
      <c r="E25" s="116">
        <f>ROUND('I. Фін результат'!E91*5%,0)</f>
        <v>2677</v>
      </c>
      <c r="F25" s="116">
        <f t="shared" si="7"/>
        <v>2928</v>
      </c>
      <c r="G25" s="116">
        <f>ROUND('I. Фін результат'!G91*5%,0)</f>
        <v>732</v>
      </c>
      <c r="H25" s="116">
        <f>ROUND('I. Фін результат'!H91*5%,0)</f>
        <v>732</v>
      </c>
      <c r="I25" s="116">
        <f>ROUND('I. Фін результат'!I91*5%,0)</f>
        <v>732</v>
      </c>
      <c r="J25" s="116">
        <f>ROUND('I. Фін результат'!J91*5%,0)</f>
        <v>732</v>
      </c>
      <c r="K25" s="336"/>
      <c r="L25" s="432"/>
      <c r="M25" s="432"/>
      <c r="N25" s="432"/>
      <c r="O25" s="432"/>
      <c r="P25" s="432"/>
      <c r="Q25" s="432"/>
      <c r="R25" s="432"/>
      <c r="S25" s="432"/>
    </row>
    <row r="26" spans="1:19" ht="34.5" customHeight="1">
      <c r="A26" s="420" t="s">
        <v>280</v>
      </c>
      <c r="B26" s="398">
        <v>2117</v>
      </c>
      <c r="C26" s="116"/>
      <c r="D26" s="116"/>
      <c r="E26" s="116">
        <f t="shared" si="6"/>
        <v>0</v>
      </c>
      <c r="F26" s="116">
        <f t="shared" si="7"/>
        <v>0</v>
      </c>
      <c r="G26" s="116"/>
      <c r="H26" s="116"/>
      <c r="I26" s="116"/>
      <c r="J26" s="116"/>
      <c r="L26" s="432"/>
      <c r="M26" s="432"/>
      <c r="N26" s="432"/>
      <c r="O26" s="432"/>
      <c r="P26" s="432"/>
      <c r="Q26" s="432"/>
      <c r="R26" s="432"/>
      <c r="S26" s="432"/>
    </row>
    <row r="27" spans="1:19" ht="54" customHeight="1">
      <c r="A27" s="250" t="s">
        <v>364</v>
      </c>
      <c r="B27" s="251">
        <v>2120</v>
      </c>
      <c r="C27" s="117">
        <f>SUM(C28:C35)</f>
        <v>11088</v>
      </c>
      <c r="D27" s="117">
        <f t="shared" ref="D27:H27" si="8">SUM(D28:D35)</f>
        <v>11106</v>
      </c>
      <c r="E27" s="117">
        <f t="shared" si="8"/>
        <v>11670</v>
      </c>
      <c r="F27" s="117">
        <f t="shared" si="7"/>
        <v>10902</v>
      </c>
      <c r="G27" s="117">
        <f t="shared" si="8"/>
        <v>2721</v>
      </c>
      <c r="H27" s="117">
        <f t="shared" si="8"/>
        <v>2725</v>
      </c>
      <c r="I27" s="117">
        <f>SUM(I28:I35)</f>
        <v>2727</v>
      </c>
      <c r="J27" s="117">
        <f t="shared" ref="J27" si="9">SUM(J28:J35)</f>
        <v>2729</v>
      </c>
      <c r="L27" s="432"/>
      <c r="M27" s="432"/>
      <c r="N27" s="432"/>
      <c r="O27" s="432"/>
      <c r="P27" s="432"/>
      <c r="Q27" s="432"/>
      <c r="R27" s="432"/>
      <c r="S27" s="432"/>
    </row>
    <row r="28" spans="1:19" ht="33" customHeight="1">
      <c r="A28" s="207" t="s">
        <v>255</v>
      </c>
      <c r="B28" s="398">
        <v>2121</v>
      </c>
      <c r="C28" s="116">
        <f>-'I. Фін результат'!C71</f>
        <v>1516</v>
      </c>
      <c r="D28" s="116">
        <f>-'I. Фін результат'!D71</f>
        <v>1265</v>
      </c>
      <c r="E28" s="116">
        <f>-'I. Фін результат'!E71</f>
        <v>1265</v>
      </c>
      <c r="F28" s="116">
        <f t="shared" si="7"/>
        <v>99</v>
      </c>
      <c r="G28" s="116">
        <f>-'I. Фін результат'!G71</f>
        <v>22</v>
      </c>
      <c r="H28" s="116">
        <f>-'I. Фін результат'!H71</f>
        <v>24</v>
      </c>
      <c r="I28" s="116">
        <f>-'I. Фін результат'!I71</f>
        <v>26</v>
      </c>
      <c r="J28" s="116">
        <f>-'I. Фін результат'!J71</f>
        <v>27</v>
      </c>
      <c r="L28" s="432"/>
      <c r="M28" s="432"/>
      <c r="N28" s="432"/>
      <c r="O28" s="432"/>
      <c r="P28" s="432"/>
      <c r="Q28" s="432"/>
      <c r="R28" s="432"/>
      <c r="S28" s="432"/>
    </row>
    <row r="29" spans="1:19" ht="33" customHeight="1">
      <c r="A29" s="420" t="s">
        <v>74</v>
      </c>
      <c r="B29" s="398">
        <v>2122</v>
      </c>
      <c r="C29" s="116">
        <v>8691</v>
      </c>
      <c r="D29" s="116">
        <v>9073</v>
      </c>
      <c r="E29" s="116">
        <f>ROUND('I. Фін результат'!E91*18%,0)</f>
        <v>9637</v>
      </c>
      <c r="F29" s="116">
        <f t="shared" si="7"/>
        <v>10542</v>
      </c>
      <c r="G29" s="116">
        <f>ROUND('I. Фін результат'!G91*18%,0)</f>
        <v>2635</v>
      </c>
      <c r="H29" s="116">
        <f>ROUND('I. Фін результат'!H91*18%,0)+1</f>
        <v>2636</v>
      </c>
      <c r="I29" s="116">
        <f>ROUND('I. Фін результат'!I91*18%,0)</f>
        <v>2635</v>
      </c>
      <c r="J29" s="116">
        <f>ROUND('I. Фін результат'!J91*18%,0)+1</f>
        <v>2636</v>
      </c>
      <c r="L29" s="432"/>
      <c r="M29" s="432"/>
      <c r="N29" s="432"/>
      <c r="O29" s="432"/>
      <c r="P29" s="432"/>
      <c r="Q29" s="432"/>
      <c r="R29" s="432"/>
      <c r="S29" s="432"/>
    </row>
    <row r="30" spans="1:19" ht="33" customHeight="1">
      <c r="A30" s="420" t="s">
        <v>75</v>
      </c>
      <c r="B30" s="398">
        <v>2123</v>
      </c>
      <c r="C30" s="116"/>
      <c r="D30" s="116"/>
      <c r="E30" s="116">
        <f t="shared" si="6"/>
        <v>0</v>
      </c>
      <c r="F30" s="116">
        <f t="shared" si="7"/>
        <v>0</v>
      </c>
      <c r="G30" s="116"/>
      <c r="H30" s="116"/>
      <c r="I30" s="116"/>
      <c r="J30" s="116"/>
      <c r="L30" s="432"/>
      <c r="M30" s="432"/>
      <c r="N30" s="432"/>
      <c r="O30" s="432"/>
      <c r="P30" s="432"/>
      <c r="Q30" s="432"/>
      <c r="R30" s="432"/>
      <c r="S30" s="432"/>
    </row>
    <row r="31" spans="1:19" ht="33" customHeight="1">
      <c r="A31" s="420" t="s">
        <v>285</v>
      </c>
      <c r="B31" s="398">
        <v>2124</v>
      </c>
      <c r="C31" s="116">
        <f>-'Розшифровка до Формування'!C9</f>
        <v>193</v>
      </c>
      <c r="D31" s="116">
        <f>-'Розшифровка до Формування'!D9</f>
        <v>192</v>
      </c>
      <c r="E31" s="116">
        <f>-'Розшифровка до Формування'!E9</f>
        <v>192</v>
      </c>
      <c r="F31" s="116">
        <f t="shared" si="7"/>
        <v>216</v>
      </c>
      <c r="G31" s="116">
        <f>-'Розшифровка до Формування'!G9</f>
        <v>54</v>
      </c>
      <c r="H31" s="116">
        <f>-'Розшифровка до Формування'!H9</f>
        <v>54</v>
      </c>
      <c r="I31" s="116">
        <f>-'Розшифровка до Формування'!I9</f>
        <v>54</v>
      </c>
      <c r="J31" s="116">
        <f>-'Розшифровка до Формування'!J9</f>
        <v>54</v>
      </c>
      <c r="L31" s="432"/>
      <c r="M31" s="432"/>
      <c r="N31" s="432"/>
      <c r="O31" s="432"/>
      <c r="P31" s="432"/>
      <c r="Q31" s="432"/>
      <c r="R31" s="432"/>
      <c r="S31" s="432"/>
    </row>
    <row r="32" spans="1:19" ht="33" customHeight="1">
      <c r="A32" s="420" t="s">
        <v>286</v>
      </c>
      <c r="B32" s="398">
        <v>2125</v>
      </c>
      <c r="C32" s="116"/>
      <c r="D32" s="116"/>
      <c r="E32" s="117">
        <f t="shared" si="6"/>
        <v>0</v>
      </c>
      <c r="F32" s="116">
        <f t="shared" si="7"/>
        <v>0</v>
      </c>
      <c r="G32" s="116"/>
      <c r="H32" s="116"/>
      <c r="I32" s="116"/>
      <c r="J32" s="116"/>
      <c r="L32" s="432"/>
      <c r="M32" s="432"/>
      <c r="N32" s="432"/>
      <c r="O32" s="432"/>
      <c r="P32" s="432"/>
      <c r="Q32" s="432"/>
      <c r="R32" s="432"/>
      <c r="S32" s="432"/>
    </row>
    <row r="33" spans="1:19" ht="66" customHeight="1">
      <c r="A33" s="420" t="s">
        <v>576</v>
      </c>
      <c r="B33" s="398">
        <v>2126</v>
      </c>
      <c r="C33" s="116">
        <f t="shared" ref="C33:J33" si="10">-C10</f>
        <v>688</v>
      </c>
      <c r="D33" s="116">
        <f t="shared" si="10"/>
        <v>576</v>
      </c>
      <c r="E33" s="116">
        <f t="shared" si="10"/>
        <v>576</v>
      </c>
      <c r="F33" s="116">
        <f t="shared" si="7"/>
        <v>45</v>
      </c>
      <c r="G33" s="116">
        <f t="shared" si="10"/>
        <v>10</v>
      </c>
      <c r="H33" s="116">
        <f t="shared" si="10"/>
        <v>11</v>
      </c>
      <c r="I33" s="116">
        <f t="shared" si="10"/>
        <v>12</v>
      </c>
      <c r="J33" s="116">
        <f t="shared" si="10"/>
        <v>12</v>
      </c>
      <c r="L33" s="432"/>
      <c r="M33" s="432"/>
      <c r="N33" s="432"/>
      <c r="O33" s="432"/>
      <c r="P33" s="432"/>
      <c r="Q33" s="432"/>
      <c r="R33" s="432"/>
      <c r="S33" s="432"/>
    </row>
    <row r="34" spans="1:19" ht="29.25" customHeight="1">
      <c r="A34" s="420" t="s">
        <v>292</v>
      </c>
      <c r="B34" s="398">
        <v>2127</v>
      </c>
      <c r="C34" s="116"/>
      <c r="D34" s="116"/>
      <c r="E34" s="117">
        <f t="shared" si="6"/>
        <v>0</v>
      </c>
      <c r="F34" s="116">
        <f t="shared" si="7"/>
        <v>0</v>
      </c>
      <c r="G34" s="116"/>
      <c r="H34" s="116"/>
      <c r="I34" s="116"/>
      <c r="J34" s="116"/>
      <c r="L34" s="432"/>
      <c r="M34" s="432"/>
      <c r="N34" s="432"/>
      <c r="O34" s="432"/>
      <c r="P34" s="432"/>
      <c r="Q34" s="432"/>
      <c r="R34" s="432"/>
      <c r="S34" s="432"/>
    </row>
    <row r="35" spans="1:19" ht="29.25" customHeight="1">
      <c r="A35" s="420" t="s">
        <v>280</v>
      </c>
      <c r="B35" s="398">
        <v>2128</v>
      </c>
      <c r="C35" s="116">
        <v>0</v>
      </c>
      <c r="D35" s="116"/>
      <c r="E35" s="117">
        <f t="shared" si="6"/>
        <v>0</v>
      </c>
      <c r="F35" s="116">
        <f t="shared" si="7"/>
        <v>0</v>
      </c>
      <c r="G35" s="116"/>
      <c r="H35" s="116"/>
      <c r="I35" s="116"/>
      <c r="J35" s="116"/>
      <c r="L35" s="432"/>
      <c r="M35" s="432"/>
      <c r="N35" s="432"/>
      <c r="O35" s="432"/>
      <c r="P35" s="432"/>
      <c r="Q35" s="432"/>
      <c r="R35" s="432"/>
      <c r="S35" s="432"/>
    </row>
    <row r="36" spans="1:19" s="254" customFormat="1" ht="39" customHeight="1">
      <c r="A36" s="250" t="s">
        <v>365</v>
      </c>
      <c r="B36" s="253">
        <v>2130</v>
      </c>
      <c r="C36" s="117">
        <f>SUM(C37:C39)</f>
        <v>15599</v>
      </c>
      <c r="D36" s="117">
        <f t="shared" ref="D36:E36" si="11">SUM(D37:D39)</f>
        <v>16728</v>
      </c>
      <c r="E36" s="117">
        <f t="shared" si="11"/>
        <v>16811</v>
      </c>
      <c r="F36" s="117">
        <f t="shared" si="7"/>
        <v>18632</v>
      </c>
      <c r="G36" s="117">
        <f>SUM(G37:G39)</f>
        <v>4658</v>
      </c>
      <c r="H36" s="117">
        <f t="shared" ref="H36" si="12">SUM(H37:H39)</f>
        <v>4658</v>
      </c>
      <c r="I36" s="117">
        <f t="shared" ref="I36" si="13">SUM(I37:I39)</f>
        <v>4658</v>
      </c>
      <c r="J36" s="117">
        <f t="shared" ref="J36" si="14">SUM(J37:J39)</f>
        <v>4658</v>
      </c>
      <c r="K36" s="142"/>
      <c r="L36" s="432"/>
      <c r="M36" s="432"/>
      <c r="N36" s="432"/>
      <c r="O36" s="432"/>
      <c r="P36" s="432"/>
      <c r="Q36" s="432"/>
      <c r="R36" s="432"/>
      <c r="S36" s="432"/>
    </row>
    <row r="37" spans="1:19" ht="33.75" customHeight="1">
      <c r="A37" s="420" t="s">
        <v>281</v>
      </c>
      <c r="B37" s="398">
        <v>2131</v>
      </c>
      <c r="C37" s="116"/>
      <c r="D37" s="116"/>
      <c r="E37" s="117">
        <f t="shared" si="6"/>
        <v>0</v>
      </c>
      <c r="F37" s="116">
        <f t="shared" si="7"/>
        <v>0</v>
      </c>
      <c r="G37" s="116"/>
      <c r="H37" s="116"/>
      <c r="I37" s="116"/>
      <c r="J37" s="116"/>
      <c r="L37" s="432"/>
      <c r="M37" s="432"/>
      <c r="N37" s="432"/>
      <c r="O37" s="432"/>
      <c r="P37" s="432"/>
      <c r="Q37" s="432"/>
      <c r="R37" s="432"/>
      <c r="S37" s="432"/>
    </row>
    <row r="38" spans="1:19" ht="33.75" customHeight="1">
      <c r="A38" s="420" t="s">
        <v>282</v>
      </c>
      <c r="B38" s="398">
        <v>2132</v>
      </c>
      <c r="C38" s="116">
        <v>9953</v>
      </c>
      <c r="D38" s="116">
        <f>'I. Фін результат'!D92</f>
        <v>11088</v>
      </c>
      <c r="E38" s="116">
        <f>'I. Фін результат'!E92</f>
        <v>11171</v>
      </c>
      <c r="F38" s="116">
        <f t="shared" si="7"/>
        <v>12884</v>
      </c>
      <c r="G38" s="116">
        <f>'I. Фін результат'!G92</f>
        <v>3221</v>
      </c>
      <c r="H38" s="116">
        <f>'I. Фін результат'!H92</f>
        <v>3221</v>
      </c>
      <c r="I38" s="116">
        <f>'I. Фін результат'!I92</f>
        <v>3221</v>
      </c>
      <c r="J38" s="116">
        <f>'I. Фін результат'!J92</f>
        <v>3221</v>
      </c>
      <c r="L38" s="432"/>
      <c r="M38" s="432"/>
      <c r="N38" s="432"/>
      <c r="O38" s="432"/>
      <c r="P38" s="432"/>
      <c r="Q38" s="432"/>
      <c r="R38" s="432"/>
      <c r="S38" s="432"/>
    </row>
    <row r="39" spans="1:19" ht="33.75" customHeight="1">
      <c r="A39" s="420" t="s">
        <v>421</v>
      </c>
      <c r="B39" s="398">
        <v>2133</v>
      </c>
      <c r="C39" s="116">
        <f>-'Розшифровка до Формування'!C8</f>
        <v>5646</v>
      </c>
      <c r="D39" s="116">
        <f>-'Розшифровка до Формування'!D8</f>
        <v>5640</v>
      </c>
      <c r="E39" s="116">
        <f>-'Розшифровка до Формування'!E8</f>
        <v>5640</v>
      </c>
      <c r="F39" s="116">
        <f t="shared" si="7"/>
        <v>5748</v>
      </c>
      <c r="G39" s="116">
        <f>-'Розшифровка до Формування'!G8</f>
        <v>1437</v>
      </c>
      <c r="H39" s="116">
        <f>-'Розшифровка до Формування'!H8</f>
        <v>1437</v>
      </c>
      <c r="I39" s="116">
        <f>-'Розшифровка до Формування'!I8</f>
        <v>1437</v>
      </c>
      <c r="J39" s="116">
        <f>-'Розшифровка до Формування'!J8</f>
        <v>1437</v>
      </c>
      <c r="L39" s="432"/>
      <c r="M39" s="432"/>
      <c r="N39" s="432"/>
      <c r="O39" s="432"/>
      <c r="P39" s="432"/>
      <c r="Q39" s="432"/>
      <c r="R39" s="432"/>
      <c r="S39" s="432"/>
    </row>
    <row r="40" spans="1:19" s="252" customFormat="1" ht="35.25" customHeight="1">
      <c r="A40" s="250" t="s">
        <v>283</v>
      </c>
      <c r="B40" s="253">
        <v>2140</v>
      </c>
      <c r="C40" s="117">
        <f>SUM(C41:C42)</f>
        <v>0</v>
      </c>
      <c r="D40" s="117">
        <f t="shared" ref="D40:J40" si="15">SUM(D41:D42)</f>
        <v>0</v>
      </c>
      <c r="E40" s="117">
        <f t="shared" si="15"/>
        <v>0</v>
      </c>
      <c r="F40" s="116">
        <f t="shared" si="7"/>
        <v>0</v>
      </c>
      <c r="G40" s="117">
        <f t="shared" si="15"/>
        <v>0</v>
      </c>
      <c r="H40" s="117">
        <f t="shared" si="15"/>
        <v>0</v>
      </c>
      <c r="I40" s="117">
        <f t="shared" si="15"/>
        <v>0</v>
      </c>
      <c r="J40" s="117">
        <f t="shared" si="15"/>
        <v>0</v>
      </c>
      <c r="L40" s="432"/>
      <c r="M40" s="432"/>
      <c r="N40" s="432"/>
      <c r="O40" s="432"/>
      <c r="P40" s="432"/>
      <c r="Q40" s="432"/>
      <c r="R40" s="432"/>
      <c r="S40" s="432"/>
    </row>
    <row r="41" spans="1:19" ht="51" customHeight="1">
      <c r="A41" s="207" t="s">
        <v>246</v>
      </c>
      <c r="B41" s="249">
        <v>2141</v>
      </c>
      <c r="C41" s="116"/>
      <c r="D41" s="116"/>
      <c r="E41" s="117">
        <f t="shared" si="6"/>
        <v>0</v>
      </c>
      <c r="F41" s="116">
        <f t="shared" si="7"/>
        <v>0</v>
      </c>
      <c r="G41" s="116"/>
      <c r="H41" s="116"/>
      <c r="I41" s="116"/>
      <c r="J41" s="116"/>
      <c r="L41" s="432"/>
      <c r="M41" s="432"/>
      <c r="N41" s="432"/>
      <c r="O41" s="432"/>
      <c r="P41" s="432"/>
      <c r="Q41" s="432"/>
      <c r="R41" s="432"/>
      <c r="S41" s="432"/>
    </row>
    <row r="42" spans="1:19" ht="39" customHeight="1">
      <c r="A42" s="207" t="s">
        <v>284</v>
      </c>
      <c r="B42" s="249">
        <v>2142</v>
      </c>
      <c r="C42" s="116"/>
      <c r="D42" s="116"/>
      <c r="E42" s="117">
        <f t="shared" si="6"/>
        <v>0</v>
      </c>
      <c r="F42" s="116">
        <f t="shared" si="7"/>
        <v>0</v>
      </c>
      <c r="G42" s="116"/>
      <c r="H42" s="116"/>
      <c r="I42" s="116"/>
      <c r="J42" s="116"/>
      <c r="L42" s="432"/>
      <c r="M42" s="432"/>
      <c r="N42" s="432"/>
      <c r="O42" s="432"/>
      <c r="P42" s="432"/>
      <c r="Q42" s="432"/>
      <c r="R42" s="432"/>
      <c r="S42" s="432"/>
    </row>
    <row r="43" spans="1:19" s="252" customFormat="1" ht="39.75" customHeight="1">
      <c r="A43" s="250" t="s">
        <v>330</v>
      </c>
      <c r="B43" s="253">
        <v>2200</v>
      </c>
      <c r="C43" s="117">
        <f>SUM(C19,C27,C36,C40)</f>
        <v>43348</v>
      </c>
      <c r="D43" s="117">
        <f t="shared" ref="D43:J43" si="16">SUM(D19,D27,D36,D40)</f>
        <v>44754</v>
      </c>
      <c r="E43" s="117">
        <f t="shared" si="16"/>
        <v>47284</v>
      </c>
      <c r="F43" s="117">
        <f t="shared" si="7"/>
        <v>48462</v>
      </c>
      <c r="G43" s="117">
        <f>SUM(G19,G27,G36,G40)</f>
        <v>12111</v>
      </c>
      <c r="H43" s="117">
        <f t="shared" si="16"/>
        <v>12115</v>
      </c>
      <c r="I43" s="117">
        <f t="shared" si="16"/>
        <v>12117</v>
      </c>
      <c r="J43" s="117">
        <f t="shared" si="16"/>
        <v>12119</v>
      </c>
      <c r="K43" s="142"/>
      <c r="L43" s="432"/>
      <c r="M43" s="432"/>
      <c r="N43" s="432"/>
      <c r="O43" s="432"/>
      <c r="P43" s="432"/>
      <c r="Q43" s="432"/>
      <c r="R43" s="432"/>
      <c r="S43" s="432"/>
    </row>
    <row r="44" spans="1:19" s="252" customFormat="1" ht="37.5" customHeight="1">
      <c r="A44" s="255"/>
      <c r="B44" s="141"/>
      <c r="C44" s="256"/>
      <c r="D44" s="257"/>
      <c r="E44" s="257"/>
      <c r="F44" s="256"/>
      <c r="G44" s="257"/>
      <c r="H44" s="257"/>
      <c r="I44" s="257"/>
      <c r="J44" s="257"/>
    </row>
    <row r="45" spans="1:19" s="100" customFormat="1" ht="36.75" customHeight="1">
      <c r="A45" s="421" t="s">
        <v>479</v>
      </c>
      <c r="B45" s="137"/>
      <c r="C45" s="507" t="s">
        <v>84</v>
      </c>
      <c r="D45" s="508"/>
      <c r="E45" s="508"/>
      <c r="F45" s="508"/>
      <c r="G45" s="138"/>
      <c r="H45" s="509" t="s">
        <v>546</v>
      </c>
      <c r="I45" s="509"/>
      <c r="J45" s="509"/>
    </row>
    <row r="46" spans="1:19" s="101" customFormat="1" ht="19.5" customHeight="1">
      <c r="A46" s="406" t="s">
        <v>360</v>
      </c>
      <c r="B46" s="139"/>
      <c r="C46" s="518" t="s">
        <v>69</v>
      </c>
      <c r="D46" s="518"/>
      <c r="E46" s="518"/>
      <c r="F46" s="518"/>
      <c r="G46" s="140"/>
      <c r="H46" s="512" t="s">
        <v>82</v>
      </c>
      <c r="I46" s="512"/>
      <c r="J46" s="512"/>
    </row>
    <row r="47" spans="1:19" s="141" customFormat="1">
      <c r="A47" s="258"/>
      <c r="F47" s="142"/>
      <c r="G47" s="142"/>
      <c r="H47" s="142"/>
      <c r="I47" s="142"/>
      <c r="J47" s="142"/>
      <c r="K47" s="142"/>
      <c r="L47" s="142"/>
    </row>
    <row r="48" spans="1:19" s="141" customFormat="1">
      <c r="A48" s="258"/>
      <c r="F48" s="142"/>
      <c r="G48" s="142"/>
      <c r="H48" s="142"/>
      <c r="I48" s="142"/>
      <c r="J48" s="142"/>
      <c r="K48" s="142"/>
      <c r="L48" s="142"/>
    </row>
    <row r="49" spans="1:12" s="141" customFormat="1">
      <c r="A49" s="258"/>
      <c r="F49" s="142"/>
      <c r="G49" s="142"/>
      <c r="H49" s="142"/>
      <c r="I49" s="142"/>
      <c r="J49" s="142"/>
      <c r="K49" s="142"/>
      <c r="L49" s="142"/>
    </row>
    <row r="50" spans="1:12" s="141" customFormat="1">
      <c r="A50" s="258"/>
      <c r="F50" s="142"/>
      <c r="G50" s="142"/>
      <c r="H50" s="142"/>
      <c r="I50" s="142"/>
      <c r="J50" s="142"/>
      <c r="K50" s="142"/>
      <c r="L50" s="142"/>
    </row>
    <row r="51" spans="1:12" s="141" customFormat="1">
      <c r="A51" s="258"/>
      <c r="C51" s="259"/>
      <c r="D51" s="259"/>
      <c r="E51" s="259"/>
      <c r="F51" s="259"/>
      <c r="G51" s="259"/>
      <c r="H51" s="259"/>
      <c r="I51" s="259"/>
      <c r="J51" s="259"/>
      <c r="K51" s="142"/>
      <c r="L51" s="142"/>
    </row>
    <row r="52" spans="1:12" s="141" customFormat="1">
      <c r="A52" s="258"/>
      <c r="F52" s="142"/>
      <c r="G52" s="142"/>
      <c r="H52" s="142"/>
      <c r="I52" s="142"/>
      <c r="J52" s="142"/>
      <c r="K52" s="142"/>
      <c r="L52" s="142"/>
    </row>
    <row r="53" spans="1:12" s="141" customFormat="1">
      <c r="A53" s="258"/>
      <c r="F53" s="142"/>
      <c r="G53" s="142"/>
      <c r="H53" s="142"/>
      <c r="I53" s="142"/>
      <c r="J53" s="142"/>
      <c r="K53" s="142"/>
      <c r="L53" s="142"/>
    </row>
    <row r="54" spans="1:12" s="141" customFormat="1">
      <c r="A54" s="258"/>
      <c r="F54" s="142"/>
      <c r="G54" s="142"/>
      <c r="H54" s="142"/>
      <c r="I54" s="142"/>
      <c r="J54" s="142"/>
      <c r="K54" s="142"/>
      <c r="L54" s="142"/>
    </row>
    <row r="55" spans="1:12" s="141" customFormat="1">
      <c r="A55" s="258"/>
      <c r="F55" s="142"/>
      <c r="G55" s="142"/>
      <c r="H55" s="142"/>
      <c r="I55" s="142"/>
      <c r="J55" s="142"/>
      <c r="K55" s="142"/>
      <c r="L55" s="142"/>
    </row>
    <row r="56" spans="1:12" s="141" customFormat="1">
      <c r="A56" s="258"/>
      <c r="F56" s="142"/>
      <c r="G56" s="142"/>
      <c r="H56" s="142"/>
      <c r="I56" s="142"/>
      <c r="J56" s="142"/>
      <c r="K56" s="142"/>
      <c r="L56" s="142"/>
    </row>
    <row r="57" spans="1:12" s="141" customFormat="1">
      <c r="A57" s="258"/>
      <c r="F57" s="142"/>
      <c r="G57" s="142"/>
      <c r="H57" s="142"/>
      <c r="I57" s="142"/>
      <c r="J57" s="142"/>
      <c r="K57" s="142"/>
      <c r="L57" s="142"/>
    </row>
    <row r="58" spans="1:12" s="141" customFormat="1">
      <c r="A58" s="258"/>
      <c r="F58" s="142"/>
      <c r="G58" s="142"/>
      <c r="H58" s="142"/>
      <c r="I58" s="142"/>
      <c r="J58" s="142"/>
      <c r="K58" s="142"/>
      <c r="L58" s="142"/>
    </row>
    <row r="59" spans="1:12" s="141" customFormat="1">
      <c r="A59" s="258"/>
      <c r="F59" s="142"/>
      <c r="G59" s="142"/>
      <c r="H59" s="142"/>
      <c r="I59" s="142"/>
      <c r="J59" s="142"/>
      <c r="K59" s="142"/>
      <c r="L59" s="142"/>
    </row>
    <row r="60" spans="1:12" s="141" customFormat="1">
      <c r="A60" s="258"/>
      <c r="F60" s="142"/>
      <c r="G60" s="142"/>
      <c r="H60" s="142"/>
      <c r="I60" s="142"/>
      <c r="J60" s="142"/>
      <c r="K60" s="142"/>
      <c r="L60" s="142"/>
    </row>
    <row r="61" spans="1:12" s="141" customFormat="1">
      <c r="A61" s="258"/>
      <c r="F61" s="142"/>
      <c r="G61" s="142"/>
      <c r="H61" s="142"/>
      <c r="I61" s="142"/>
      <c r="J61" s="142"/>
      <c r="K61" s="142"/>
      <c r="L61" s="142"/>
    </row>
    <row r="62" spans="1:12" s="141" customFormat="1">
      <c r="A62" s="258"/>
      <c r="F62" s="142"/>
      <c r="G62" s="142"/>
      <c r="H62" s="142"/>
      <c r="I62" s="142"/>
      <c r="J62" s="142"/>
      <c r="K62" s="142"/>
      <c r="L62" s="142"/>
    </row>
    <row r="63" spans="1:12" s="141" customFormat="1">
      <c r="A63" s="258"/>
      <c r="F63" s="142"/>
      <c r="G63" s="142"/>
      <c r="H63" s="142"/>
      <c r="I63" s="142"/>
      <c r="J63" s="142"/>
      <c r="K63" s="142"/>
      <c r="L63" s="142"/>
    </row>
    <row r="64" spans="1:12" s="141" customFormat="1">
      <c r="A64" s="258"/>
      <c r="F64" s="142"/>
      <c r="G64" s="142"/>
      <c r="H64" s="142"/>
      <c r="I64" s="142"/>
      <c r="J64" s="142"/>
      <c r="K64" s="142"/>
      <c r="L64" s="142"/>
    </row>
    <row r="65" spans="1:12" s="141" customFormat="1">
      <c r="A65" s="258"/>
      <c r="F65" s="142"/>
      <c r="G65" s="142"/>
      <c r="H65" s="142"/>
      <c r="I65" s="142"/>
      <c r="J65" s="142"/>
      <c r="K65" s="142"/>
      <c r="L65" s="142"/>
    </row>
    <row r="66" spans="1:12" s="141" customFormat="1">
      <c r="A66" s="258"/>
      <c r="F66" s="142"/>
      <c r="G66" s="142"/>
      <c r="H66" s="142"/>
      <c r="I66" s="142"/>
      <c r="J66" s="142"/>
      <c r="K66" s="142"/>
      <c r="L66" s="142"/>
    </row>
    <row r="67" spans="1:12" s="141" customFormat="1">
      <c r="A67" s="258"/>
      <c r="F67" s="142"/>
      <c r="G67" s="142"/>
      <c r="H67" s="142"/>
      <c r="I67" s="142"/>
      <c r="J67" s="142"/>
      <c r="K67" s="142"/>
      <c r="L67" s="142"/>
    </row>
    <row r="68" spans="1:12" s="141" customFormat="1">
      <c r="A68" s="258"/>
      <c r="F68" s="142"/>
      <c r="G68" s="142"/>
      <c r="H68" s="142"/>
      <c r="I68" s="142"/>
      <c r="J68" s="142"/>
      <c r="K68" s="142"/>
      <c r="L68" s="142"/>
    </row>
    <row r="69" spans="1:12" s="141" customFormat="1">
      <c r="A69" s="258"/>
      <c r="F69" s="142"/>
      <c r="G69" s="142"/>
      <c r="H69" s="142"/>
      <c r="I69" s="142"/>
      <c r="J69" s="142"/>
      <c r="K69" s="142"/>
      <c r="L69" s="142"/>
    </row>
    <row r="70" spans="1:12" s="141" customFormat="1">
      <c r="A70" s="258"/>
      <c r="F70" s="142"/>
      <c r="G70" s="142"/>
      <c r="H70" s="142"/>
      <c r="I70" s="142"/>
      <c r="J70" s="142"/>
      <c r="K70" s="142"/>
      <c r="L70" s="142"/>
    </row>
    <row r="71" spans="1:12" s="141" customFormat="1">
      <c r="A71" s="258"/>
      <c r="F71" s="142"/>
      <c r="G71" s="142"/>
      <c r="H71" s="142"/>
      <c r="I71" s="142"/>
      <c r="J71" s="142"/>
      <c r="K71" s="142"/>
      <c r="L71" s="142"/>
    </row>
    <row r="72" spans="1:12" s="141" customFormat="1">
      <c r="A72" s="258"/>
      <c r="F72" s="142"/>
      <c r="G72" s="142"/>
      <c r="H72" s="142"/>
      <c r="I72" s="142"/>
      <c r="J72" s="142"/>
      <c r="K72" s="142"/>
      <c r="L72" s="142"/>
    </row>
    <row r="73" spans="1:12" s="141" customFormat="1">
      <c r="A73" s="258"/>
      <c r="F73" s="142"/>
      <c r="G73" s="142"/>
      <c r="H73" s="142"/>
      <c r="I73" s="142"/>
      <c r="J73" s="142"/>
      <c r="K73" s="142"/>
      <c r="L73" s="142"/>
    </row>
    <row r="74" spans="1:12" s="141" customFormat="1">
      <c r="A74" s="258"/>
      <c r="F74" s="142"/>
      <c r="G74" s="142"/>
      <c r="H74" s="142"/>
      <c r="I74" s="142"/>
      <c r="J74" s="142"/>
      <c r="K74" s="142"/>
      <c r="L74" s="142"/>
    </row>
    <row r="75" spans="1:12" s="141" customFormat="1">
      <c r="A75" s="258"/>
      <c r="F75" s="142"/>
      <c r="G75" s="142"/>
      <c r="H75" s="142"/>
      <c r="I75" s="142"/>
      <c r="J75" s="142"/>
      <c r="K75" s="142"/>
      <c r="L75" s="142"/>
    </row>
    <row r="76" spans="1:12" s="141" customFormat="1">
      <c r="A76" s="258"/>
      <c r="F76" s="142"/>
      <c r="G76" s="142"/>
      <c r="H76" s="142"/>
      <c r="I76" s="142"/>
      <c r="J76" s="142"/>
      <c r="K76" s="142"/>
      <c r="L76" s="142"/>
    </row>
    <row r="77" spans="1:12" s="141" customFormat="1">
      <c r="A77" s="258"/>
      <c r="F77" s="142"/>
      <c r="G77" s="142"/>
      <c r="H77" s="142"/>
      <c r="I77" s="142"/>
      <c r="J77" s="142"/>
      <c r="K77" s="142"/>
      <c r="L77" s="142"/>
    </row>
    <row r="78" spans="1:12" s="141" customFormat="1">
      <c r="A78" s="258"/>
      <c r="F78" s="142"/>
      <c r="G78" s="142"/>
      <c r="H78" s="142"/>
      <c r="I78" s="142"/>
      <c r="J78" s="142"/>
      <c r="K78" s="142"/>
      <c r="L78" s="142"/>
    </row>
    <row r="79" spans="1:12" s="141" customFormat="1">
      <c r="A79" s="258"/>
      <c r="F79" s="142"/>
      <c r="G79" s="142"/>
      <c r="H79" s="142"/>
      <c r="I79" s="142"/>
      <c r="J79" s="142"/>
      <c r="K79" s="142"/>
      <c r="L79" s="142"/>
    </row>
    <row r="80" spans="1:12" s="141" customFormat="1">
      <c r="A80" s="258"/>
      <c r="F80" s="142"/>
      <c r="G80" s="142"/>
      <c r="H80" s="142"/>
      <c r="I80" s="142"/>
      <c r="J80" s="142"/>
      <c r="K80" s="142"/>
      <c r="L80" s="142"/>
    </row>
    <row r="81" spans="1:12" s="141" customFormat="1">
      <c r="A81" s="258"/>
      <c r="F81" s="142"/>
      <c r="G81" s="142"/>
      <c r="H81" s="142"/>
      <c r="I81" s="142"/>
      <c r="J81" s="142"/>
      <c r="K81" s="142"/>
      <c r="L81" s="142"/>
    </row>
    <row r="82" spans="1:12" s="141" customFormat="1">
      <c r="A82" s="258"/>
      <c r="F82" s="142"/>
      <c r="G82" s="142"/>
      <c r="H82" s="142"/>
      <c r="I82" s="142"/>
      <c r="J82" s="142"/>
      <c r="K82" s="142"/>
      <c r="L82" s="142"/>
    </row>
    <row r="83" spans="1:12" s="141" customFormat="1">
      <c r="A83" s="258"/>
      <c r="F83" s="142"/>
      <c r="G83" s="142"/>
      <c r="H83" s="142"/>
      <c r="I83" s="142"/>
      <c r="J83" s="142"/>
      <c r="K83" s="142"/>
      <c r="L83" s="142"/>
    </row>
    <row r="84" spans="1:12" s="141" customFormat="1">
      <c r="A84" s="258"/>
      <c r="F84" s="142"/>
      <c r="G84" s="142"/>
      <c r="H84" s="142"/>
      <c r="I84" s="142"/>
      <c r="J84" s="142"/>
      <c r="K84" s="142"/>
      <c r="L84" s="142"/>
    </row>
    <row r="85" spans="1:12" s="141" customFormat="1">
      <c r="A85" s="258"/>
      <c r="F85" s="142"/>
      <c r="G85" s="142"/>
      <c r="H85" s="142"/>
      <c r="I85" s="142"/>
      <c r="J85" s="142"/>
      <c r="K85" s="142"/>
      <c r="L85" s="142"/>
    </row>
    <row r="86" spans="1:12" s="141" customFormat="1">
      <c r="A86" s="258"/>
      <c r="F86" s="142"/>
      <c r="G86" s="142"/>
      <c r="H86" s="142"/>
      <c r="I86" s="142"/>
      <c r="J86" s="142"/>
      <c r="K86" s="142"/>
      <c r="L86" s="142"/>
    </row>
    <row r="87" spans="1:12" s="141" customFormat="1">
      <c r="A87" s="258"/>
      <c r="F87" s="142"/>
      <c r="G87" s="142"/>
      <c r="H87" s="142"/>
      <c r="I87" s="142"/>
      <c r="J87" s="142"/>
      <c r="K87" s="142"/>
      <c r="L87" s="142"/>
    </row>
    <row r="88" spans="1:12" s="141" customFormat="1">
      <c r="A88" s="258"/>
      <c r="F88" s="142"/>
      <c r="G88" s="142"/>
      <c r="H88" s="142"/>
      <c r="I88" s="142"/>
      <c r="J88" s="142"/>
      <c r="K88" s="142"/>
      <c r="L88" s="142"/>
    </row>
    <row r="89" spans="1:12" s="141" customFormat="1">
      <c r="A89" s="258"/>
      <c r="F89" s="142"/>
      <c r="G89" s="142"/>
      <c r="H89" s="142"/>
      <c r="I89" s="142"/>
      <c r="J89" s="142"/>
      <c r="K89" s="142"/>
      <c r="L89" s="142"/>
    </row>
    <row r="90" spans="1:12" s="141" customFormat="1">
      <c r="A90" s="258"/>
      <c r="F90" s="142"/>
      <c r="G90" s="142"/>
      <c r="H90" s="142"/>
      <c r="I90" s="142"/>
      <c r="J90" s="142"/>
      <c r="K90" s="142"/>
      <c r="L90" s="142"/>
    </row>
    <row r="91" spans="1:12" s="141" customFormat="1">
      <c r="A91" s="258"/>
      <c r="F91" s="142"/>
      <c r="G91" s="142"/>
      <c r="H91" s="142"/>
      <c r="I91" s="142"/>
      <c r="J91" s="142"/>
      <c r="K91" s="142"/>
      <c r="L91" s="142"/>
    </row>
    <row r="92" spans="1:12" s="141" customFormat="1">
      <c r="A92" s="258"/>
      <c r="F92" s="142"/>
      <c r="G92" s="142"/>
      <c r="H92" s="142"/>
      <c r="I92" s="142"/>
      <c r="J92" s="142"/>
      <c r="K92" s="142"/>
      <c r="L92" s="142"/>
    </row>
    <row r="93" spans="1:12" s="141" customFormat="1">
      <c r="A93" s="258"/>
      <c r="F93" s="142"/>
      <c r="G93" s="142"/>
      <c r="H93" s="142"/>
      <c r="I93" s="142"/>
      <c r="J93" s="142"/>
      <c r="K93" s="142"/>
      <c r="L93" s="142"/>
    </row>
    <row r="94" spans="1:12" s="141" customFormat="1">
      <c r="A94" s="258"/>
      <c r="F94" s="142"/>
      <c r="G94" s="142"/>
      <c r="H94" s="142"/>
      <c r="I94" s="142"/>
      <c r="J94" s="142"/>
      <c r="K94" s="142"/>
      <c r="L94" s="142"/>
    </row>
    <row r="95" spans="1:12" s="141" customFormat="1">
      <c r="A95" s="258"/>
      <c r="F95" s="142"/>
      <c r="G95" s="142"/>
      <c r="H95" s="142"/>
      <c r="I95" s="142"/>
      <c r="J95" s="142"/>
      <c r="K95" s="142"/>
      <c r="L95" s="142"/>
    </row>
    <row r="96" spans="1:12" s="141" customFormat="1">
      <c r="A96" s="258"/>
      <c r="F96" s="142"/>
      <c r="G96" s="142"/>
      <c r="H96" s="142"/>
      <c r="I96" s="142"/>
      <c r="J96" s="142"/>
      <c r="K96" s="142"/>
      <c r="L96" s="142"/>
    </row>
    <row r="97" spans="1:12" s="141" customFormat="1">
      <c r="A97" s="258"/>
      <c r="F97" s="142"/>
      <c r="G97" s="142"/>
      <c r="H97" s="142"/>
      <c r="I97" s="142"/>
      <c r="J97" s="142"/>
      <c r="K97" s="142"/>
      <c r="L97" s="142"/>
    </row>
    <row r="98" spans="1:12" s="141" customFormat="1">
      <c r="A98" s="258"/>
      <c r="F98" s="142"/>
      <c r="G98" s="142"/>
      <c r="H98" s="142"/>
      <c r="I98" s="142"/>
      <c r="J98" s="142"/>
      <c r="K98" s="142"/>
      <c r="L98" s="142"/>
    </row>
    <row r="99" spans="1:12" s="141" customFormat="1">
      <c r="A99" s="258"/>
      <c r="F99" s="142"/>
      <c r="G99" s="142"/>
      <c r="H99" s="142"/>
      <c r="I99" s="142"/>
      <c r="J99" s="142"/>
      <c r="K99" s="142"/>
      <c r="L99" s="142"/>
    </row>
    <row r="100" spans="1:12" s="141" customFormat="1">
      <c r="A100" s="258"/>
      <c r="F100" s="142"/>
      <c r="G100" s="142"/>
      <c r="H100" s="142"/>
      <c r="I100" s="142"/>
      <c r="J100" s="142"/>
      <c r="K100" s="142"/>
      <c r="L100" s="142"/>
    </row>
    <row r="101" spans="1:12" s="141" customFormat="1">
      <c r="A101" s="258"/>
      <c r="F101" s="142"/>
      <c r="G101" s="142"/>
      <c r="H101" s="142"/>
      <c r="I101" s="142"/>
      <c r="J101" s="142"/>
      <c r="K101" s="142"/>
      <c r="L101" s="142"/>
    </row>
    <row r="102" spans="1:12" s="141" customFormat="1">
      <c r="A102" s="258"/>
      <c r="F102" s="142"/>
      <c r="G102" s="142"/>
      <c r="H102" s="142"/>
      <c r="I102" s="142"/>
      <c r="J102" s="142"/>
      <c r="K102" s="142"/>
      <c r="L102" s="142"/>
    </row>
    <row r="103" spans="1:12" s="141" customFormat="1">
      <c r="A103" s="258"/>
      <c r="F103" s="142"/>
      <c r="G103" s="142"/>
      <c r="H103" s="142"/>
      <c r="I103" s="142"/>
      <c r="J103" s="142"/>
      <c r="K103" s="142"/>
      <c r="L103" s="142"/>
    </row>
    <row r="104" spans="1:12" s="141" customFormat="1">
      <c r="A104" s="258"/>
      <c r="F104" s="142"/>
      <c r="G104" s="142"/>
      <c r="H104" s="142"/>
      <c r="I104" s="142"/>
      <c r="J104" s="142"/>
      <c r="K104" s="142"/>
      <c r="L104" s="142"/>
    </row>
    <row r="105" spans="1:12" s="141" customFormat="1">
      <c r="A105" s="258"/>
      <c r="F105" s="142"/>
      <c r="G105" s="142"/>
      <c r="H105" s="142"/>
      <c r="I105" s="142"/>
      <c r="J105" s="142"/>
      <c r="K105" s="142"/>
      <c r="L105" s="142"/>
    </row>
    <row r="106" spans="1:12" s="141" customFormat="1">
      <c r="A106" s="258"/>
      <c r="F106" s="142"/>
      <c r="G106" s="142"/>
      <c r="H106" s="142"/>
      <c r="I106" s="142"/>
      <c r="J106" s="142"/>
      <c r="K106" s="142"/>
      <c r="L106" s="142"/>
    </row>
    <row r="107" spans="1:12" s="141" customFormat="1">
      <c r="A107" s="258"/>
      <c r="F107" s="142"/>
      <c r="G107" s="142"/>
      <c r="H107" s="142"/>
      <c r="I107" s="142"/>
      <c r="J107" s="142"/>
      <c r="K107" s="142"/>
      <c r="L107" s="142"/>
    </row>
    <row r="108" spans="1:12" s="141" customFormat="1">
      <c r="A108" s="258"/>
      <c r="F108" s="142"/>
      <c r="G108" s="142"/>
      <c r="H108" s="142"/>
      <c r="I108" s="142"/>
      <c r="J108" s="142"/>
      <c r="K108" s="142"/>
      <c r="L108" s="142"/>
    </row>
    <row r="109" spans="1:12" s="141" customFormat="1">
      <c r="A109" s="258"/>
      <c r="F109" s="142"/>
      <c r="G109" s="142"/>
      <c r="H109" s="142"/>
      <c r="I109" s="142"/>
      <c r="J109" s="142"/>
      <c r="K109" s="142"/>
      <c r="L109" s="142"/>
    </row>
    <row r="110" spans="1:12" s="141" customFormat="1">
      <c r="A110" s="258"/>
      <c r="F110" s="142"/>
      <c r="G110" s="142"/>
      <c r="H110" s="142"/>
      <c r="I110" s="142"/>
      <c r="J110" s="142"/>
      <c r="K110" s="142"/>
      <c r="L110" s="142"/>
    </row>
    <row r="111" spans="1:12" s="141" customFormat="1">
      <c r="A111" s="258"/>
      <c r="F111" s="142"/>
      <c r="G111" s="142"/>
      <c r="H111" s="142"/>
      <c r="I111" s="142"/>
      <c r="J111" s="142"/>
      <c r="K111" s="142"/>
      <c r="L111" s="142"/>
    </row>
    <row r="112" spans="1:12" s="141" customFormat="1">
      <c r="A112" s="258"/>
      <c r="F112" s="142"/>
      <c r="G112" s="142"/>
      <c r="H112" s="142"/>
      <c r="I112" s="142"/>
      <c r="J112" s="142"/>
      <c r="K112" s="142"/>
      <c r="L112" s="142"/>
    </row>
    <row r="113" spans="1:12" s="141" customFormat="1">
      <c r="A113" s="258"/>
      <c r="F113" s="142"/>
      <c r="G113" s="142"/>
      <c r="H113" s="142"/>
      <c r="I113" s="142"/>
      <c r="J113" s="142"/>
      <c r="K113" s="142"/>
      <c r="L113" s="142"/>
    </row>
    <row r="114" spans="1:12" s="141" customFormat="1">
      <c r="A114" s="258"/>
      <c r="F114" s="142"/>
      <c r="G114" s="142"/>
      <c r="H114" s="142"/>
      <c r="I114" s="142"/>
      <c r="J114" s="142"/>
      <c r="K114" s="142"/>
      <c r="L114" s="142"/>
    </row>
    <row r="115" spans="1:12" s="141" customFormat="1">
      <c r="A115" s="258"/>
      <c r="F115" s="142"/>
      <c r="G115" s="142"/>
      <c r="H115" s="142"/>
      <c r="I115" s="142"/>
      <c r="J115" s="142"/>
      <c r="K115" s="142"/>
      <c r="L115" s="142"/>
    </row>
    <row r="116" spans="1:12" s="141" customFormat="1">
      <c r="A116" s="258"/>
      <c r="F116" s="142"/>
      <c r="G116" s="142"/>
      <c r="H116" s="142"/>
      <c r="I116" s="142"/>
      <c r="J116" s="142"/>
      <c r="K116" s="142"/>
      <c r="L116" s="142"/>
    </row>
    <row r="117" spans="1:12" s="141" customFormat="1">
      <c r="A117" s="258"/>
      <c r="F117" s="142"/>
      <c r="G117" s="142"/>
      <c r="H117" s="142"/>
      <c r="I117" s="142"/>
      <c r="J117" s="142"/>
      <c r="K117" s="142"/>
      <c r="L117" s="142"/>
    </row>
    <row r="118" spans="1:12" s="141" customFormat="1">
      <c r="A118" s="258"/>
      <c r="F118" s="142"/>
      <c r="G118" s="142"/>
      <c r="H118" s="142"/>
      <c r="I118" s="142"/>
      <c r="J118" s="142"/>
      <c r="K118" s="142"/>
      <c r="L118" s="142"/>
    </row>
    <row r="119" spans="1:12" s="141" customFormat="1">
      <c r="A119" s="258"/>
      <c r="F119" s="142"/>
      <c r="G119" s="142"/>
      <c r="H119" s="142"/>
      <c r="I119" s="142"/>
      <c r="J119" s="142"/>
      <c r="K119" s="142"/>
      <c r="L119" s="142"/>
    </row>
    <row r="120" spans="1:12" s="141" customFormat="1">
      <c r="A120" s="258"/>
      <c r="F120" s="142"/>
      <c r="G120" s="142"/>
      <c r="H120" s="142"/>
      <c r="I120" s="142"/>
      <c r="J120" s="142"/>
      <c r="K120" s="142"/>
      <c r="L120" s="142"/>
    </row>
    <row r="121" spans="1:12" s="141" customFormat="1">
      <c r="A121" s="258"/>
      <c r="F121" s="142"/>
      <c r="G121" s="142"/>
      <c r="H121" s="142"/>
      <c r="I121" s="142"/>
      <c r="J121" s="142"/>
      <c r="K121" s="142"/>
      <c r="L121" s="142"/>
    </row>
    <row r="122" spans="1:12" s="141" customFormat="1">
      <c r="A122" s="258"/>
      <c r="F122" s="142"/>
      <c r="G122" s="142"/>
      <c r="H122" s="142"/>
      <c r="I122" s="142"/>
      <c r="J122" s="142"/>
      <c r="K122" s="142"/>
      <c r="L122" s="142"/>
    </row>
    <row r="123" spans="1:12" s="141" customFormat="1">
      <c r="A123" s="258"/>
      <c r="F123" s="142"/>
      <c r="G123" s="142"/>
      <c r="H123" s="142"/>
      <c r="I123" s="142"/>
      <c r="J123" s="142"/>
      <c r="K123" s="142"/>
      <c r="L123" s="142"/>
    </row>
    <row r="124" spans="1:12" s="141" customFormat="1">
      <c r="A124" s="258"/>
      <c r="F124" s="142"/>
      <c r="G124" s="142"/>
      <c r="H124" s="142"/>
      <c r="I124" s="142"/>
      <c r="J124" s="142"/>
      <c r="K124" s="142"/>
      <c r="L124" s="142"/>
    </row>
    <row r="125" spans="1:12" s="141" customFormat="1">
      <c r="A125" s="258"/>
      <c r="F125" s="142"/>
      <c r="G125" s="142"/>
      <c r="H125" s="142"/>
      <c r="I125" s="142"/>
      <c r="J125" s="142"/>
      <c r="K125" s="142"/>
      <c r="L125" s="142"/>
    </row>
    <row r="126" spans="1:12" s="141" customFormat="1">
      <c r="A126" s="258"/>
      <c r="F126" s="142"/>
      <c r="G126" s="142"/>
      <c r="H126" s="142"/>
      <c r="I126" s="142"/>
      <c r="J126" s="142"/>
      <c r="K126" s="142"/>
      <c r="L126" s="142"/>
    </row>
    <row r="127" spans="1:12" s="141" customFormat="1">
      <c r="A127" s="258"/>
      <c r="F127" s="142"/>
      <c r="G127" s="142"/>
      <c r="H127" s="142"/>
      <c r="I127" s="142"/>
      <c r="J127" s="142"/>
      <c r="K127" s="142"/>
      <c r="L127" s="142"/>
    </row>
    <row r="128" spans="1:12" s="141" customFormat="1">
      <c r="A128" s="258"/>
      <c r="F128" s="142"/>
      <c r="G128" s="142"/>
      <c r="H128" s="142"/>
      <c r="I128" s="142"/>
      <c r="J128" s="142"/>
      <c r="K128" s="142"/>
      <c r="L128" s="142"/>
    </row>
    <row r="129" spans="1:12" s="141" customFormat="1">
      <c r="A129" s="258"/>
      <c r="F129" s="142"/>
      <c r="G129" s="142"/>
      <c r="H129" s="142"/>
      <c r="I129" s="142"/>
      <c r="J129" s="142"/>
      <c r="K129" s="142"/>
      <c r="L129" s="142"/>
    </row>
    <row r="130" spans="1:12" s="141" customFormat="1">
      <c r="A130" s="258"/>
      <c r="F130" s="142"/>
      <c r="G130" s="142"/>
      <c r="H130" s="142"/>
      <c r="I130" s="142"/>
      <c r="J130" s="142"/>
      <c r="K130" s="142"/>
      <c r="L130" s="142"/>
    </row>
    <row r="131" spans="1:12" s="141" customFormat="1">
      <c r="A131" s="258"/>
      <c r="F131" s="142"/>
      <c r="G131" s="142"/>
      <c r="H131" s="142"/>
      <c r="I131" s="142"/>
      <c r="J131" s="142"/>
      <c r="K131" s="142"/>
      <c r="L131" s="142"/>
    </row>
    <row r="132" spans="1:12" s="141" customFormat="1">
      <c r="A132" s="258"/>
      <c r="F132" s="142"/>
      <c r="G132" s="142"/>
      <c r="H132" s="142"/>
      <c r="I132" s="142"/>
      <c r="J132" s="142"/>
      <c r="K132" s="142"/>
      <c r="L132" s="142"/>
    </row>
    <row r="133" spans="1:12" s="141" customFormat="1">
      <c r="A133" s="258"/>
      <c r="F133" s="142"/>
      <c r="G133" s="142"/>
      <c r="H133" s="142"/>
      <c r="I133" s="142"/>
      <c r="J133" s="142"/>
      <c r="K133" s="142"/>
      <c r="L133" s="142"/>
    </row>
    <row r="134" spans="1:12" s="141" customFormat="1">
      <c r="A134" s="258"/>
      <c r="F134" s="142"/>
      <c r="G134" s="142"/>
      <c r="H134" s="142"/>
      <c r="I134" s="142"/>
      <c r="J134" s="142"/>
      <c r="K134" s="142"/>
      <c r="L134" s="142"/>
    </row>
    <row r="135" spans="1:12" s="141" customFormat="1">
      <c r="A135" s="258"/>
      <c r="F135" s="142"/>
      <c r="G135" s="142"/>
      <c r="H135" s="142"/>
      <c r="I135" s="142"/>
      <c r="J135" s="142"/>
      <c r="K135" s="142"/>
      <c r="L135" s="142"/>
    </row>
    <row r="136" spans="1:12" s="141" customFormat="1">
      <c r="A136" s="258"/>
      <c r="F136" s="142"/>
      <c r="G136" s="142"/>
      <c r="H136" s="142"/>
      <c r="I136" s="142"/>
      <c r="J136" s="142"/>
      <c r="K136" s="142"/>
      <c r="L136" s="142"/>
    </row>
    <row r="137" spans="1:12" s="141" customFormat="1">
      <c r="A137" s="258"/>
      <c r="F137" s="142"/>
      <c r="G137" s="142"/>
      <c r="H137" s="142"/>
      <c r="I137" s="142"/>
      <c r="J137" s="142"/>
      <c r="K137" s="142"/>
      <c r="L137" s="142"/>
    </row>
    <row r="138" spans="1:12" s="141" customFormat="1">
      <c r="A138" s="258"/>
      <c r="F138" s="142"/>
      <c r="G138" s="142"/>
      <c r="H138" s="142"/>
      <c r="I138" s="142"/>
      <c r="J138" s="142"/>
      <c r="K138" s="142"/>
      <c r="L138" s="142"/>
    </row>
    <row r="139" spans="1:12" s="141" customFormat="1">
      <c r="A139" s="258"/>
      <c r="F139" s="142"/>
      <c r="G139" s="142"/>
      <c r="H139" s="142"/>
      <c r="I139" s="142"/>
      <c r="J139" s="142"/>
      <c r="K139" s="142"/>
      <c r="L139" s="142"/>
    </row>
    <row r="140" spans="1:12" s="141" customFormat="1">
      <c r="A140" s="258"/>
      <c r="F140" s="142"/>
      <c r="G140" s="142"/>
      <c r="H140" s="142"/>
      <c r="I140" s="142"/>
      <c r="J140" s="142"/>
      <c r="K140" s="142"/>
      <c r="L140" s="142"/>
    </row>
    <row r="141" spans="1:12" s="141" customFormat="1">
      <c r="A141" s="258"/>
      <c r="F141" s="142"/>
      <c r="G141" s="142"/>
      <c r="H141" s="142"/>
      <c r="I141" s="142"/>
      <c r="J141" s="142"/>
      <c r="K141" s="142"/>
      <c r="L141" s="142"/>
    </row>
    <row r="142" spans="1:12" s="141" customFormat="1">
      <c r="A142" s="258"/>
      <c r="F142" s="142"/>
      <c r="G142" s="142"/>
      <c r="H142" s="142"/>
      <c r="I142" s="142"/>
      <c r="J142" s="142"/>
      <c r="K142" s="142"/>
      <c r="L142" s="142"/>
    </row>
    <row r="143" spans="1:12" s="141" customFormat="1">
      <c r="A143" s="258"/>
      <c r="F143" s="142"/>
      <c r="G143" s="142"/>
      <c r="H143" s="142"/>
      <c r="I143" s="142"/>
      <c r="J143" s="142"/>
      <c r="K143" s="142"/>
      <c r="L143" s="142"/>
    </row>
    <row r="144" spans="1:12" s="141" customFormat="1">
      <c r="A144" s="258"/>
      <c r="F144" s="142"/>
      <c r="G144" s="142"/>
      <c r="H144" s="142"/>
      <c r="I144" s="142"/>
      <c r="J144" s="142"/>
      <c r="K144" s="142"/>
      <c r="L144" s="142"/>
    </row>
    <row r="145" spans="1:12" s="141" customFormat="1">
      <c r="A145" s="258"/>
      <c r="F145" s="142"/>
      <c r="G145" s="142"/>
      <c r="H145" s="142"/>
      <c r="I145" s="142"/>
      <c r="J145" s="142"/>
      <c r="K145" s="142"/>
      <c r="L145" s="142"/>
    </row>
    <row r="146" spans="1:12" s="141" customFormat="1">
      <c r="A146" s="258"/>
      <c r="F146" s="142"/>
      <c r="G146" s="142"/>
      <c r="H146" s="142"/>
      <c r="I146" s="142"/>
      <c r="J146" s="142"/>
      <c r="K146" s="142"/>
      <c r="L146" s="142"/>
    </row>
    <row r="147" spans="1:12" s="141" customFormat="1">
      <c r="A147" s="258"/>
      <c r="F147" s="142"/>
      <c r="G147" s="142"/>
      <c r="H147" s="142"/>
      <c r="I147" s="142"/>
      <c r="J147" s="142"/>
      <c r="K147" s="142"/>
      <c r="L147" s="142"/>
    </row>
    <row r="148" spans="1:12" s="141" customFormat="1">
      <c r="A148" s="258"/>
      <c r="F148" s="142"/>
      <c r="G148" s="142"/>
      <c r="H148" s="142"/>
      <c r="I148" s="142"/>
      <c r="J148" s="142"/>
      <c r="K148" s="142"/>
      <c r="L148" s="142"/>
    </row>
    <row r="149" spans="1:12" s="141" customFormat="1">
      <c r="A149" s="258"/>
      <c r="F149" s="142"/>
      <c r="G149" s="142"/>
      <c r="H149" s="142"/>
      <c r="I149" s="142"/>
      <c r="J149" s="142"/>
      <c r="K149" s="142"/>
      <c r="L149" s="142"/>
    </row>
    <row r="150" spans="1:12" s="141" customFormat="1">
      <c r="A150" s="258"/>
      <c r="F150" s="142"/>
      <c r="G150" s="142"/>
      <c r="H150" s="142"/>
      <c r="I150" s="142"/>
      <c r="J150" s="142"/>
      <c r="K150" s="142"/>
      <c r="L150" s="142"/>
    </row>
    <row r="151" spans="1:12" s="141" customFormat="1">
      <c r="A151" s="258"/>
      <c r="F151" s="142"/>
      <c r="G151" s="142"/>
      <c r="H151" s="142"/>
      <c r="I151" s="142"/>
      <c r="J151" s="142"/>
      <c r="K151" s="142"/>
      <c r="L151" s="142"/>
    </row>
    <row r="152" spans="1:12" s="141" customFormat="1">
      <c r="A152" s="258"/>
      <c r="F152" s="142"/>
      <c r="G152" s="142"/>
      <c r="H152" s="142"/>
      <c r="I152" s="142"/>
      <c r="J152" s="142"/>
      <c r="K152" s="142"/>
      <c r="L152" s="142"/>
    </row>
    <row r="153" spans="1:12" s="141" customFormat="1">
      <c r="A153" s="258"/>
      <c r="F153" s="142"/>
      <c r="G153" s="142"/>
      <c r="H153" s="142"/>
      <c r="I153" s="142"/>
      <c r="J153" s="142"/>
      <c r="K153" s="142"/>
      <c r="L153" s="142"/>
    </row>
    <row r="154" spans="1:12" s="141" customFormat="1">
      <c r="A154" s="258"/>
      <c r="F154" s="142"/>
      <c r="G154" s="142"/>
      <c r="H154" s="142"/>
      <c r="I154" s="142"/>
      <c r="J154" s="142"/>
      <c r="K154" s="142"/>
      <c r="L154" s="142"/>
    </row>
    <row r="155" spans="1:12" s="141" customFormat="1">
      <c r="A155" s="258"/>
      <c r="F155" s="142"/>
      <c r="G155" s="142"/>
      <c r="H155" s="142"/>
      <c r="I155" s="142"/>
      <c r="J155" s="142"/>
      <c r="K155" s="142"/>
      <c r="L155" s="142"/>
    </row>
    <row r="156" spans="1:12" s="141" customFormat="1">
      <c r="A156" s="258"/>
      <c r="F156" s="142"/>
      <c r="G156" s="142"/>
      <c r="H156" s="142"/>
      <c r="I156" s="142"/>
      <c r="J156" s="142"/>
      <c r="K156" s="142"/>
      <c r="L156" s="142"/>
    </row>
    <row r="157" spans="1:12" s="141" customFormat="1">
      <c r="A157" s="258"/>
      <c r="F157" s="142"/>
      <c r="G157" s="142"/>
      <c r="H157" s="142"/>
      <c r="I157" s="142"/>
      <c r="J157" s="142"/>
      <c r="K157" s="142"/>
      <c r="L157" s="142"/>
    </row>
    <row r="158" spans="1:12" s="141" customFormat="1">
      <c r="A158" s="258"/>
      <c r="F158" s="142"/>
      <c r="G158" s="142"/>
      <c r="H158" s="142"/>
      <c r="I158" s="142"/>
      <c r="J158" s="142"/>
      <c r="K158" s="142"/>
      <c r="L158" s="142"/>
    </row>
    <row r="159" spans="1:12" s="141" customFormat="1">
      <c r="A159" s="258"/>
      <c r="F159" s="142"/>
      <c r="G159" s="142"/>
      <c r="H159" s="142"/>
      <c r="I159" s="142"/>
      <c r="J159" s="142"/>
      <c r="K159" s="142"/>
      <c r="L159" s="142"/>
    </row>
    <row r="160" spans="1:12" s="141" customFormat="1">
      <c r="A160" s="258"/>
      <c r="F160" s="142"/>
      <c r="G160" s="142"/>
      <c r="H160" s="142"/>
      <c r="I160" s="142"/>
      <c r="J160" s="142"/>
      <c r="K160" s="142"/>
      <c r="L160" s="142"/>
    </row>
    <row r="161" spans="1:12" s="141" customFormat="1">
      <c r="A161" s="258"/>
      <c r="F161" s="142"/>
      <c r="G161" s="142"/>
      <c r="H161" s="142"/>
      <c r="I161" s="142"/>
      <c r="J161" s="142"/>
      <c r="K161" s="142"/>
      <c r="L161" s="142"/>
    </row>
    <row r="162" spans="1:12" s="141" customFormat="1">
      <c r="A162" s="258"/>
      <c r="F162" s="142"/>
      <c r="G162" s="142"/>
      <c r="H162" s="142"/>
      <c r="I162" s="142"/>
      <c r="J162" s="142"/>
      <c r="K162" s="142"/>
      <c r="L162" s="142"/>
    </row>
    <row r="163" spans="1:12" s="141" customFormat="1">
      <c r="A163" s="258"/>
      <c r="F163" s="142"/>
      <c r="G163" s="142"/>
      <c r="H163" s="142"/>
      <c r="I163" s="142"/>
      <c r="J163" s="142"/>
      <c r="K163" s="142"/>
      <c r="L163" s="142"/>
    </row>
    <row r="164" spans="1:12" s="141" customFormat="1">
      <c r="A164" s="258"/>
      <c r="F164" s="142"/>
      <c r="G164" s="142"/>
      <c r="H164" s="142"/>
      <c r="I164" s="142"/>
      <c r="J164" s="142"/>
      <c r="K164" s="142"/>
      <c r="L164" s="142"/>
    </row>
    <row r="165" spans="1:12" s="141" customFormat="1">
      <c r="A165" s="258"/>
      <c r="F165" s="142"/>
      <c r="G165" s="142"/>
      <c r="H165" s="142"/>
      <c r="I165" s="142"/>
      <c r="J165" s="142"/>
      <c r="K165" s="142"/>
      <c r="L165" s="142"/>
    </row>
    <row r="166" spans="1:12" s="141" customFormat="1">
      <c r="A166" s="258"/>
      <c r="F166" s="142"/>
      <c r="G166" s="142"/>
      <c r="H166" s="142"/>
      <c r="I166" s="142"/>
      <c r="J166" s="142"/>
      <c r="K166" s="142"/>
      <c r="L166" s="142"/>
    </row>
    <row r="167" spans="1:12" s="141" customFormat="1">
      <c r="A167" s="258"/>
      <c r="F167" s="142"/>
      <c r="G167" s="142"/>
      <c r="H167" s="142"/>
      <c r="I167" s="142"/>
      <c r="J167" s="142"/>
      <c r="K167" s="142"/>
      <c r="L167" s="142"/>
    </row>
    <row r="168" spans="1:12" s="141" customFormat="1">
      <c r="A168" s="258"/>
      <c r="F168" s="142"/>
      <c r="G168" s="142"/>
      <c r="H168" s="142"/>
      <c r="I168" s="142"/>
      <c r="J168" s="142"/>
      <c r="K168" s="142"/>
      <c r="L168" s="142"/>
    </row>
    <row r="169" spans="1:12" s="141" customFormat="1">
      <c r="A169" s="258"/>
      <c r="F169" s="142"/>
      <c r="G169" s="142"/>
      <c r="H169" s="142"/>
      <c r="I169" s="142"/>
      <c r="J169" s="142"/>
      <c r="K169" s="142"/>
      <c r="L169" s="142"/>
    </row>
    <row r="170" spans="1:12" s="141" customFormat="1">
      <c r="A170" s="258"/>
      <c r="F170" s="142"/>
      <c r="G170" s="142"/>
      <c r="H170" s="142"/>
      <c r="I170" s="142"/>
      <c r="J170" s="142"/>
      <c r="K170" s="142"/>
      <c r="L170" s="142"/>
    </row>
    <row r="171" spans="1:12" s="141" customFormat="1">
      <c r="A171" s="258"/>
      <c r="F171" s="142"/>
      <c r="G171" s="142"/>
      <c r="H171" s="142"/>
      <c r="I171" s="142"/>
      <c r="J171" s="142"/>
      <c r="K171" s="142"/>
      <c r="L171" s="142"/>
    </row>
    <row r="172" spans="1:12" s="141" customFormat="1">
      <c r="A172" s="258"/>
      <c r="F172" s="142"/>
      <c r="G172" s="142"/>
      <c r="H172" s="142"/>
      <c r="I172" s="142"/>
      <c r="J172" s="142"/>
      <c r="K172" s="142"/>
      <c r="L172" s="142"/>
    </row>
    <row r="173" spans="1:12" s="141" customFormat="1">
      <c r="A173" s="258"/>
      <c r="F173" s="142"/>
      <c r="G173" s="142"/>
      <c r="H173" s="142"/>
      <c r="I173" s="142"/>
      <c r="J173" s="142"/>
      <c r="K173" s="142"/>
      <c r="L173" s="142"/>
    </row>
    <row r="174" spans="1:12" s="141" customFormat="1">
      <c r="A174" s="258"/>
      <c r="F174" s="142"/>
      <c r="G174" s="142"/>
      <c r="H174" s="142"/>
      <c r="I174" s="142"/>
      <c r="J174" s="142"/>
      <c r="K174" s="142"/>
      <c r="L174" s="142"/>
    </row>
    <row r="175" spans="1:12" s="141" customFormat="1">
      <c r="A175" s="258"/>
      <c r="F175" s="142"/>
      <c r="G175" s="142"/>
      <c r="H175" s="142"/>
      <c r="I175" s="142"/>
      <c r="J175" s="142"/>
      <c r="K175" s="142"/>
      <c r="L175" s="142"/>
    </row>
    <row r="176" spans="1:12" s="141" customFormat="1">
      <c r="A176" s="258"/>
      <c r="F176" s="142"/>
      <c r="G176" s="142"/>
      <c r="H176" s="142"/>
      <c r="I176" s="142"/>
      <c r="J176" s="142"/>
      <c r="K176" s="142"/>
      <c r="L176" s="142"/>
    </row>
    <row r="177" spans="1:12" s="141" customFormat="1">
      <c r="A177" s="258"/>
      <c r="F177" s="142"/>
      <c r="G177" s="142"/>
      <c r="H177" s="142"/>
      <c r="I177" s="142"/>
      <c r="J177" s="142"/>
      <c r="K177" s="142"/>
      <c r="L177" s="142"/>
    </row>
    <row r="178" spans="1:12" s="141" customFormat="1">
      <c r="A178" s="258"/>
      <c r="F178" s="142"/>
      <c r="G178" s="142"/>
      <c r="H178" s="142"/>
      <c r="I178" s="142"/>
      <c r="J178" s="142"/>
      <c r="K178" s="142"/>
      <c r="L178" s="142"/>
    </row>
    <row r="179" spans="1:12" s="141" customFormat="1">
      <c r="A179" s="258"/>
      <c r="F179" s="142"/>
      <c r="G179" s="142"/>
      <c r="H179" s="142"/>
      <c r="I179" s="142"/>
      <c r="J179" s="142"/>
      <c r="K179" s="142"/>
      <c r="L179" s="142"/>
    </row>
    <row r="180" spans="1:12" s="141" customFormat="1">
      <c r="A180" s="258"/>
      <c r="F180" s="142"/>
      <c r="G180" s="142"/>
      <c r="H180" s="142"/>
      <c r="I180" s="142"/>
      <c r="J180" s="142"/>
      <c r="K180" s="142"/>
      <c r="L180" s="142"/>
    </row>
    <row r="181" spans="1:12" s="141" customFormat="1">
      <c r="A181" s="258"/>
      <c r="F181" s="142"/>
      <c r="G181" s="142"/>
      <c r="H181" s="142"/>
      <c r="I181" s="142"/>
      <c r="J181" s="142"/>
      <c r="K181" s="142"/>
      <c r="L181" s="142"/>
    </row>
    <row r="182" spans="1:12" s="141" customFormat="1">
      <c r="A182" s="258"/>
      <c r="F182" s="142"/>
      <c r="G182" s="142"/>
      <c r="H182" s="142"/>
      <c r="I182" s="142"/>
      <c r="J182" s="142"/>
      <c r="K182" s="142"/>
      <c r="L182" s="142"/>
    </row>
    <row r="183" spans="1:12" s="141" customFormat="1">
      <c r="A183" s="258"/>
      <c r="F183" s="142"/>
      <c r="G183" s="142"/>
      <c r="H183" s="142"/>
      <c r="I183" s="142"/>
      <c r="J183" s="142"/>
      <c r="K183" s="142"/>
      <c r="L183" s="142"/>
    </row>
    <row r="184" spans="1:12" s="141" customFormat="1">
      <c r="A184" s="258"/>
      <c r="F184" s="142"/>
      <c r="G184" s="142"/>
      <c r="H184" s="142"/>
      <c r="I184" s="142"/>
      <c r="J184" s="142"/>
      <c r="K184" s="142"/>
      <c r="L184" s="142"/>
    </row>
    <row r="185" spans="1:12" s="141" customFormat="1">
      <c r="A185" s="258"/>
      <c r="F185" s="142"/>
      <c r="G185" s="142"/>
      <c r="H185" s="142"/>
      <c r="I185" s="142"/>
      <c r="J185" s="142"/>
      <c r="K185" s="142"/>
      <c r="L185" s="142"/>
    </row>
    <row r="186" spans="1:12" s="141" customFormat="1">
      <c r="A186" s="258"/>
      <c r="F186" s="142"/>
      <c r="G186" s="142"/>
      <c r="H186" s="142"/>
      <c r="I186" s="142"/>
      <c r="J186" s="142"/>
      <c r="K186" s="142"/>
      <c r="L186" s="142"/>
    </row>
    <row r="187" spans="1:12" s="141" customFormat="1">
      <c r="A187" s="258"/>
      <c r="F187" s="142"/>
      <c r="G187" s="142"/>
      <c r="H187" s="142"/>
      <c r="I187" s="142"/>
      <c r="J187" s="142"/>
      <c r="K187" s="142"/>
      <c r="L187" s="142"/>
    </row>
    <row r="188" spans="1:12" s="141" customFormat="1">
      <c r="A188" s="258"/>
      <c r="F188" s="142"/>
      <c r="G188" s="142"/>
      <c r="H188" s="142"/>
      <c r="I188" s="142"/>
      <c r="J188" s="142"/>
      <c r="K188" s="142"/>
      <c r="L188" s="142"/>
    </row>
    <row r="189" spans="1:12" s="141" customFormat="1">
      <c r="A189" s="258"/>
      <c r="F189" s="142"/>
      <c r="G189" s="142"/>
      <c r="H189" s="142"/>
      <c r="I189" s="142"/>
      <c r="J189" s="142"/>
      <c r="K189" s="142"/>
      <c r="L189" s="142"/>
    </row>
    <row r="190" spans="1:12" s="141" customFormat="1">
      <c r="A190" s="258"/>
      <c r="F190" s="142"/>
      <c r="G190" s="142"/>
      <c r="H190" s="142"/>
      <c r="I190" s="142"/>
      <c r="J190" s="142"/>
      <c r="K190" s="142"/>
      <c r="L190" s="142"/>
    </row>
    <row r="191" spans="1:12" s="141" customFormat="1">
      <c r="A191" s="258"/>
      <c r="F191" s="142"/>
      <c r="G191" s="142"/>
      <c r="H191" s="142"/>
      <c r="I191" s="142"/>
      <c r="J191" s="142"/>
      <c r="K191" s="142"/>
      <c r="L191" s="142"/>
    </row>
    <row r="192" spans="1:12" s="141" customFormat="1">
      <c r="A192" s="258"/>
      <c r="F192" s="142"/>
      <c r="G192" s="142"/>
      <c r="H192" s="142"/>
      <c r="I192" s="142"/>
      <c r="J192" s="142"/>
      <c r="K192" s="142"/>
      <c r="L192" s="142"/>
    </row>
    <row r="193" spans="1:12" s="141" customFormat="1">
      <c r="A193" s="258"/>
      <c r="F193" s="142"/>
      <c r="G193" s="142"/>
      <c r="H193" s="142"/>
      <c r="I193" s="142"/>
      <c r="J193" s="142"/>
      <c r="K193" s="142"/>
      <c r="L193" s="142"/>
    </row>
    <row r="194" spans="1:12" s="141" customFormat="1">
      <c r="A194" s="258"/>
      <c r="F194" s="142"/>
      <c r="G194" s="142"/>
      <c r="H194" s="142"/>
      <c r="I194" s="142"/>
      <c r="J194" s="142"/>
      <c r="K194" s="142"/>
      <c r="L194" s="142"/>
    </row>
    <row r="195" spans="1:12" s="141" customFormat="1">
      <c r="A195" s="258"/>
      <c r="F195" s="142"/>
      <c r="G195" s="142"/>
      <c r="H195" s="142"/>
      <c r="I195" s="142"/>
      <c r="J195" s="142"/>
      <c r="K195" s="142"/>
      <c r="L195" s="142"/>
    </row>
    <row r="196" spans="1:12" s="141" customFormat="1">
      <c r="A196" s="258"/>
      <c r="F196" s="142"/>
      <c r="G196" s="142"/>
      <c r="H196" s="142"/>
      <c r="I196" s="142"/>
      <c r="J196" s="142"/>
      <c r="K196" s="142"/>
      <c r="L196" s="142"/>
    </row>
  </sheetData>
  <sheetProtection algorithmName="SHA-512" hashValue="jbd8mfUDbMcgG6w7Pmh5mPn5lOqldYjSODWHigSUpXoaCfFQr7xnp9dXFz27sLvTLaG4+LUSyu/J4QSIonirFw==" saltValue="QL45YLlZeReH4yI0zDWqmA==" spinCount="100000" sheet="1" objects="1" scenarios="1" selectLockedCells="1" selectUnlockedCells="1"/>
  <mergeCells count="14">
    <mergeCell ref="C46:F46"/>
    <mergeCell ref="H46:J46"/>
    <mergeCell ref="A7:J7"/>
    <mergeCell ref="A18:J18"/>
    <mergeCell ref="C45:F45"/>
    <mergeCell ref="H45:J45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51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02"/>
  <sheetViews>
    <sheetView view="pageBreakPreview" topLeftCell="A44" zoomScale="50" zoomScaleNormal="75" zoomScaleSheetLayoutView="50" workbookViewId="0">
      <selection activeCell="A44" sqref="A1:XFD1048576"/>
    </sheetView>
  </sheetViews>
  <sheetFormatPr defaultColWidth="9.109375" defaultRowHeight="21"/>
  <cols>
    <col min="1" max="1" width="90.88671875" style="6" customWidth="1"/>
    <col min="2" max="2" width="15" style="6" customWidth="1"/>
    <col min="3" max="3" width="21.6640625" style="6" customWidth="1"/>
    <col min="4" max="4" width="23.6640625" style="6" customWidth="1"/>
    <col min="5" max="5" width="22.88671875" style="6" customWidth="1"/>
    <col min="6" max="6" width="20" style="6" customWidth="1"/>
    <col min="7" max="7" width="18.5546875" style="6" customWidth="1"/>
    <col min="8" max="8" width="19" style="6" customWidth="1"/>
    <col min="9" max="9" width="20.44140625" style="6" customWidth="1"/>
    <col min="10" max="10" width="18.6640625" style="6" customWidth="1"/>
    <col min="11" max="11" width="13.109375" style="6" customWidth="1"/>
    <col min="12" max="12" width="14" style="6" customWidth="1"/>
    <col min="13" max="13" width="12.88671875" style="6" bestFit="1" customWidth="1"/>
    <col min="14" max="16384" width="9.109375" style="6"/>
  </cols>
  <sheetData>
    <row r="1" spans="1:19" ht="23.25" customHeight="1">
      <c r="J1" s="118" t="s">
        <v>347</v>
      </c>
    </row>
    <row r="2" spans="1:19" ht="29.25" customHeight="1">
      <c r="A2" s="493" t="s">
        <v>276</v>
      </c>
      <c r="B2" s="493"/>
      <c r="C2" s="493"/>
      <c r="D2" s="493"/>
      <c r="E2" s="493"/>
      <c r="F2" s="493"/>
      <c r="G2" s="493"/>
      <c r="H2" s="493"/>
      <c r="I2" s="493"/>
      <c r="J2" s="493"/>
    </row>
    <row r="3" spans="1:19" ht="17.25" customHeight="1">
      <c r="A3" s="430"/>
      <c r="B3" s="430"/>
      <c r="C3" s="430"/>
      <c r="D3" s="430"/>
      <c r="E3" s="430"/>
      <c r="F3" s="430"/>
      <c r="G3" s="430"/>
      <c r="H3" s="430"/>
      <c r="I3" s="430"/>
      <c r="J3" s="396" t="s">
        <v>355</v>
      </c>
    </row>
    <row r="4" spans="1:19" ht="48" customHeight="1">
      <c r="A4" s="525" t="s">
        <v>163</v>
      </c>
      <c r="B4" s="527" t="s">
        <v>0</v>
      </c>
      <c r="C4" s="483" t="s">
        <v>650</v>
      </c>
      <c r="D4" s="483" t="s">
        <v>651</v>
      </c>
      <c r="E4" s="481" t="s">
        <v>652</v>
      </c>
      <c r="F4" s="488" t="s">
        <v>653</v>
      </c>
      <c r="G4" s="488" t="s">
        <v>324</v>
      </c>
      <c r="H4" s="488"/>
      <c r="I4" s="488"/>
      <c r="J4" s="488"/>
    </row>
    <row r="5" spans="1:19" ht="72" customHeight="1">
      <c r="A5" s="526"/>
      <c r="B5" s="527"/>
      <c r="C5" s="484"/>
      <c r="D5" s="484"/>
      <c r="E5" s="482"/>
      <c r="F5" s="488"/>
      <c r="G5" s="408" t="s">
        <v>125</v>
      </c>
      <c r="H5" s="408" t="s">
        <v>126</v>
      </c>
      <c r="I5" s="408" t="s">
        <v>127</v>
      </c>
      <c r="J5" s="408" t="s">
        <v>63</v>
      </c>
    </row>
    <row r="6" spans="1:19" ht="27" customHeight="1">
      <c r="A6" s="397">
        <v>1</v>
      </c>
      <c r="B6" s="408">
        <v>2</v>
      </c>
      <c r="C6" s="408">
        <v>3</v>
      </c>
      <c r="D6" s="408">
        <v>4</v>
      </c>
      <c r="E6" s="408">
        <v>5</v>
      </c>
      <c r="F6" s="408">
        <v>6</v>
      </c>
      <c r="G6" s="408">
        <v>7</v>
      </c>
      <c r="H6" s="408">
        <v>8</v>
      </c>
      <c r="I6" s="408">
        <v>9</v>
      </c>
      <c r="J6" s="408">
        <v>10</v>
      </c>
    </row>
    <row r="7" spans="1:19" s="124" customFormat="1" ht="36" customHeight="1">
      <c r="A7" s="119" t="s">
        <v>109</v>
      </c>
      <c r="B7" s="120"/>
      <c r="C7" s="121"/>
      <c r="D7" s="121"/>
      <c r="E7" s="121"/>
      <c r="F7" s="122"/>
      <c r="G7" s="121"/>
      <c r="H7" s="121"/>
      <c r="I7" s="121"/>
      <c r="J7" s="123"/>
    </row>
    <row r="8" spans="1:19" ht="34.5" customHeight="1">
      <c r="A8" s="125" t="s">
        <v>247</v>
      </c>
      <c r="B8" s="126">
        <v>3000</v>
      </c>
      <c r="C8" s="117">
        <f>SUM(C9:C10,C12:C17)</f>
        <v>177973</v>
      </c>
      <c r="D8" s="117">
        <f>SUM(D9:D10,D12:D17)</f>
        <v>179056</v>
      </c>
      <c r="E8" s="117">
        <f>SUM(E9:E10,E12:E17)</f>
        <v>182556</v>
      </c>
      <c r="F8" s="117">
        <f>SUM(G8:J8)</f>
        <v>186392</v>
      </c>
      <c r="G8" s="117">
        <f>SUM(G9:G10,G12:G17)</f>
        <v>46598</v>
      </c>
      <c r="H8" s="117">
        <f>SUM(H9:H10,H12:H17)</f>
        <v>46598</v>
      </c>
      <c r="I8" s="117">
        <f>SUM(I9:I10,I12:I17)</f>
        <v>46598</v>
      </c>
      <c r="J8" s="117">
        <f>SUM(J9:J10,J12:J17)</f>
        <v>46598</v>
      </c>
      <c r="L8" s="128"/>
      <c r="M8" s="128"/>
      <c r="N8" s="128"/>
      <c r="O8" s="128"/>
      <c r="P8" s="128"/>
      <c r="Q8" s="128"/>
      <c r="R8" s="128"/>
      <c r="S8" s="128"/>
    </row>
    <row r="9" spans="1:19" ht="29.25" customHeight="1">
      <c r="A9" s="420" t="s">
        <v>306</v>
      </c>
      <c r="B9" s="127">
        <v>3010</v>
      </c>
      <c r="C9" s="116">
        <v>176354</v>
      </c>
      <c r="D9" s="116">
        <v>179056</v>
      </c>
      <c r="E9" s="116">
        <f>ROUND('I. Фін результат'!E8*1.2,0)</f>
        <v>182556</v>
      </c>
      <c r="F9" s="116">
        <f>SUM(G9:J9)</f>
        <v>186392</v>
      </c>
      <c r="G9" s="116">
        <f>ROUND('I. Фін результат'!G8*1.2,0)</f>
        <v>46598</v>
      </c>
      <c r="H9" s="116">
        <f>ROUND('I. Фін результат'!H8*1.2,0)</f>
        <v>46598</v>
      </c>
      <c r="I9" s="116">
        <f>ROUND('I. Фін результат'!I8*1.2,0)</f>
        <v>46598</v>
      </c>
      <c r="J9" s="116">
        <f>ROUND('I. Фін результат'!J8*1.2,0)</f>
        <v>46598</v>
      </c>
      <c r="L9" s="128"/>
      <c r="M9" s="128"/>
      <c r="N9" s="128"/>
      <c r="O9" s="128"/>
      <c r="P9" s="128"/>
      <c r="Q9" s="128"/>
      <c r="R9" s="128"/>
      <c r="S9" s="128"/>
    </row>
    <row r="10" spans="1:19" ht="29.25" customHeight="1">
      <c r="A10" s="420" t="s">
        <v>248</v>
      </c>
      <c r="B10" s="127">
        <v>3020</v>
      </c>
      <c r="C10" s="116"/>
      <c r="D10" s="116"/>
      <c r="E10" s="117"/>
      <c r="F10" s="116">
        <f t="shared" ref="F10:F34" si="0">SUM(G10:J10)</f>
        <v>0</v>
      </c>
      <c r="G10" s="116"/>
      <c r="H10" s="116"/>
      <c r="I10" s="116"/>
      <c r="J10" s="116"/>
      <c r="L10" s="128"/>
      <c r="M10" s="128"/>
      <c r="N10" s="128"/>
      <c r="O10" s="128"/>
      <c r="P10" s="128"/>
      <c r="Q10" s="128"/>
      <c r="R10" s="128"/>
      <c r="S10" s="128"/>
    </row>
    <row r="11" spans="1:19" ht="29.25" customHeight="1">
      <c r="A11" s="420" t="s">
        <v>249</v>
      </c>
      <c r="B11" s="127">
        <v>3021</v>
      </c>
      <c r="C11" s="116"/>
      <c r="D11" s="116"/>
      <c r="E11" s="117"/>
      <c r="F11" s="116">
        <f t="shared" si="0"/>
        <v>0</v>
      </c>
      <c r="G11" s="116"/>
      <c r="H11" s="116"/>
      <c r="I11" s="116"/>
      <c r="J11" s="116"/>
      <c r="L11" s="128"/>
      <c r="M11" s="128"/>
      <c r="N11" s="128"/>
      <c r="O11" s="128"/>
      <c r="P11" s="128"/>
      <c r="Q11" s="128"/>
      <c r="R11" s="128"/>
      <c r="S11" s="128"/>
    </row>
    <row r="12" spans="1:19" ht="29.25" customHeight="1">
      <c r="A12" s="420" t="s">
        <v>547</v>
      </c>
      <c r="B12" s="127">
        <v>3030</v>
      </c>
      <c r="C12" s="116"/>
      <c r="D12" s="116"/>
      <c r="E12" s="116"/>
      <c r="F12" s="116">
        <f t="shared" si="0"/>
        <v>0</v>
      </c>
      <c r="G12" s="116"/>
      <c r="H12" s="116"/>
      <c r="I12" s="116"/>
      <c r="J12" s="116"/>
      <c r="L12" s="128"/>
      <c r="M12" s="128"/>
      <c r="N12" s="128"/>
      <c r="O12" s="128"/>
      <c r="P12" s="128"/>
      <c r="Q12" s="128"/>
      <c r="R12" s="128"/>
      <c r="S12" s="128"/>
    </row>
    <row r="13" spans="1:19" ht="29.25" customHeight="1">
      <c r="A13" s="420" t="s">
        <v>369</v>
      </c>
      <c r="B13" s="127">
        <v>3040</v>
      </c>
      <c r="C13" s="116"/>
      <c r="D13" s="116"/>
      <c r="E13" s="117"/>
      <c r="F13" s="116">
        <f t="shared" si="0"/>
        <v>0</v>
      </c>
      <c r="G13" s="116"/>
      <c r="H13" s="116"/>
      <c r="I13" s="116"/>
      <c r="J13" s="116"/>
      <c r="L13" s="128"/>
      <c r="M13" s="128"/>
      <c r="N13" s="128"/>
      <c r="O13" s="128"/>
      <c r="P13" s="128"/>
      <c r="Q13" s="128"/>
      <c r="R13" s="128"/>
      <c r="S13" s="128"/>
    </row>
    <row r="14" spans="1:19" ht="29.25" customHeight="1">
      <c r="A14" s="420" t="s">
        <v>250</v>
      </c>
      <c r="B14" s="127">
        <v>3050</v>
      </c>
      <c r="C14" s="116"/>
      <c r="D14" s="116"/>
      <c r="E14" s="117"/>
      <c r="F14" s="116">
        <f t="shared" si="0"/>
        <v>0</v>
      </c>
      <c r="G14" s="116"/>
      <c r="H14" s="116"/>
      <c r="I14" s="116"/>
      <c r="J14" s="116"/>
      <c r="L14" s="128"/>
      <c r="M14" s="128"/>
      <c r="N14" s="128"/>
      <c r="O14" s="128"/>
      <c r="P14" s="128"/>
      <c r="Q14" s="128"/>
      <c r="R14" s="128"/>
      <c r="S14" s="128"/>
    </row>
    <row r="15" spans="1:19" ht="29.25" customHeight="1">
      <c r="A15" s="420" t="s">
        <v>370</v>
      </c>
      <c r="B15" s="127">
        <v>3060</v>
      </c>
      <c r="C15" s="116">
        <v>31</v>
      </c>
      <c r="D15" s="116"/>
      <c r="E15" s="117"/>
      <c r="F15" s="116">
        <f t="shared" si="0"/>
        <v>0</v>
      </c>
      <c r="G15" s="116"/>
      <c r="H15" s="116"/>
      <c r="I15" s="116"/>
      <c r="J15" s="116"/>
      <c r="L15" s="128"/>
      <c r="M15" s="128"/>
      <c r="N15" s="128"/>
      <c r="O15" s="128"/>
      <c r="P15" s="128"/>
      <c r="Q15" s="128"/>
      <c r="R15" s="128"/>
      <c r="S15" s="128"/>
    </row>
    <row r="16" spans="1:19" ht="29.25" customHeight="1">
      <c r="A16" s="420" t="s">
        <v>371</v>
      </c>
      <c r="B16" s="127">
        <v>3070</v>
      </c>
      <c r="C16" s="116">
        <v>814</v>
      </c>
      <c r="D16" s="116">
        <f>'Розшифровка до Формування'!D52</f>
        <v>0</v>
      </c>
      <c r="E16" s="116"/>
      <c r="F16" s="116">
        <f t="shared" si="0"/>
        <v>0</v>
      </c>
      <c r="G16" s="116">
        <f>'Розшифровка до Формування'!G52</f>
        <v>0</v>
      </c>
      <c r="H16" s="116">
        <f>'Розшифровка до Формування'!H52</f>
        <v>0</v>
      </c>
      <c r="I16" s="116">
        <f>'Розшифровка до Формування'!I52</f>
        <v>0</v>
      </c>
      <c r="J16" s="116">
        <f>'Розшифровка до Формування'!J52</f>
        <v>0</v>
      </c>
      <c r="L16" s="128"/>
      <c r="M16" s="128"/>
      <c r="N16" s="128"/>
      <c r="O16" s="128"/>
      <c r="P16" s="128"/>
      <c r="Q16" s="128"/>
      <c r="R16" s="128"/>
      <c r="S16" s="128"/>
    </row>
    <row r="17" spans="1:19" ht="29.25" customHeight="1">
      <c r="A17" s="420" t="s">
        <v>366</v>
      </c>
      <c r="B17" s="127">
        <v>3080</v>
      </c>
      <c r="C17" s="116">
        <f>'Розшифровка до Руху'!C10</f>
        <v>774</v>
      </c>
      <c r="D17" s="116">
        <f>'Розшифровка до Руху'!D10</f>
        <v>0</v>
      </c>
      <c r="E17" s="116">
        <f>'Розшифровка до Руху'!E10</f>
        <v>0</v>
      </c>
      <c r="F17" s="116">
        <f t="shared" si="0"/>
        <v>0</v>
      </c>
      <c r="G17" s="116">
        <f>'Розшифровка до Руху'!G10</f>
        <v>0</v>
      </c>
      <c r="H17" s="116">
        <f>'Розшифровка до Руху'!H10</f>
        <v>0</v>
      </c>
      <c r="I17" s="116">
        <f>'Розшифровка до Руху'!I10</f>
        <v>0</v>
      </c>
      <c r="J17" s="116">
        <f>'Розшифровка до Руху'!J10</f>
        <v>0</v>
      </c>
      <c r="L17" s="128"/>
      <c r="M17" s="128"/>
      <c r="N17" s="128"/>
      <c r="O17" s="128"/>
      <c r="P17" s="128"/>
      <c r="Q17" s="128"/>
      <c r="R17" s="128"/>
      <c r="S17" s="128"/>
    </row>
    <row r="18" spans="1:19" ht="34.5" customHeight="1">
      <c r="A18" s="125" t="s">
        <v>251</v>
      </c>
      <c r="B18" s="126">
        <v>3100</v>
      </c>
      <c r="C18" s="117">
        <f>SUM(C19:C21,C32:C33)</f>
        <v>-160844</v>
      </c>
      <c r="D18" s="117">
        <f>SUM(D19:D21,D32:D33)</f>
        <v>-168684</v>
      </c>
      <c r="E18" s="117">
        <f>SUM(E19:E21,E32:E33)</f>
        <v>-167629</v>
      </c>
      <c r="F18" s="116">
        <f t="shared" si="0"/>
        <v>-186776</v>
      </c>
      <c r="G18" s="117">
        <f>SUM(G19:G21,G32:G33)</f>
        <v>-46645</v>
      </c>
      <c r="H18" s="117">
        <f>SUM(H19:H21,H32:H33)</f>
        <v>-46875</v>
      </c>
      <c r="I18" s="117">
        <f>SUM(I19:I21,I32:I33)</f>
        <v>-46877</v>
      </c>
      <c r="J18" s="117">
        <f>SUM(J19:J21,J32:J33)</f>
        <v>-46379</v>
      </c>
      <c r="L18" s="128"/>
      <c r="M18" s="128"/>
      <c r="N18" s="128"/>
      <c r="O18" s="128"/>
      <c r="P18" s="128"/>
      <c r="Q18" s="128"/>
      <c r="R18" s="128"/>
      <c r="S18" s="128"/>
    </row>
    <row r="19" spans="1:19" ht="28.5" customHeight="1">
      <c r="A19" s="420" t="s">
        <v>252</v>
      </c>
      <c r="B19" s="127">
        <v>3110</v>
      </c>
      <c r="C19" s="116">
        <v>-79958</v>
      </c>
      <c r="D19" s="116">
        <v>-84823</v>
      </c>
      <c r="E19" s="116">
        <f>-84823+6000</f>
        <v>-78823</v>
      </c>
      <c r="F19" s="116">
        <f t="shared" si="0"/>
        <v>-93000</v>
      </c>
      <c r="G19" s="116">
        <v>-23000</v>
      </c>
      <c r="H19" s="116">
        <v>-23500</v>
      </c>
      <c r="I19" s="116">
        <v>-23500</v>
      </c>
      <c r="J19" s="116">
        <v>-23000</v>
      </c>
      <c r="L19" s="128"/>
      <c r="M19" s="128"/>
      <c r="N19" s="128"/>
      <c r="O19" s="128"/>
      <c r="P19" s="128"/>
      <c r="Q19" s="128"/>
      <c r="R19" s="128"/>
      <c r="S19" s="128"/>
    </row>
    <row r="20" spans="1:19" ht="28.5" customHeight="1">
      <c r="A20" s="420" t="s">
        <v>253</v>
      </c>
      <c r="B20" s="127">
        <v>3120</v>
      </c>
      <c r="C20" s="116">
        <v>-38218</v>
      </c>
      <c r="D20" s="116">
        <v>-38811</v>
      </c>
      <c r="E20" s="116">
        <f>-('I. Фін результат'!E91+E24+E29)</f>
        <v>-41226</v>
      </c>
      <c r="F20" s="116">
        <f t="shared" si="0"/>
        <v>-45094</v>
      </c>
      <c r="G20" s="116">
        <f>-('I. Фін результат'!G91+G24+G29)</f>
        <v>-11274</v>
      </c>
      <c r="H20" s="116">
        <f>-('I. Фін результат'!H91+H24+H29)</f>
        <v>-11273</v>
      </c>
      <c r="I20" s="116">
        <f>-('I. Фін результат'!I91+I24+I29)</f>
        <v>-11274</v>
      </c>
      <c r="J20" s="116">
        <f>-('I. Фін результат'!J91+J24+J29)</f>
        <v>-11273</v>
      </c>
      <c r="L20" s="128"/>
      <c r="M20" s="128"/>
      <c r="N20" s="128"/>
      <c r="O20" s="128"/>
      <c r="P20" s="128"/>
      <c r="Q20" s="128"/>
      <c r="R20" s="128"/>
      <c r="S20" s="128"/>
    </row>
    <row r="21" spans="1:19" ht="48" customHeight="1">
      <c r="A21" s="420" t="s">
        <v>254</v>
      </c>
      <c r="B21" s="127">
        <v>3130</v>
      </c>
      <c r="C21" s="116">
        <f>SUM(C22:C31)</f>
        <v>-42091</v>
      </c>
      <c r="D21" s="116">
        <f>SUM(D22:D31)</f>
        <v>-45014</v>
      </c>
      <c r="E21" s="116">
        <f>SUM(E22:E31)</f>
        <v>-47544</v>
      </c>
      <c r="F21" s="116">
        <f t="shared" si="0"/>
        <v>-48682</v>
      </c>
      <c r="G21" s="116">
        <f>SUM(G22:G31)</f>
        <v>-12371</v>
      </c>
      <c r="H21" s="116">
        <f>SUM(H22:H31)</f>
        <v>-12102</v>
      </c>
      <c r="I21" s="116">
        <f>SUM(I22:I31)</f>
        <v>-12103</v>
      </c>
      <c r="J21" s="116">
        <f>SUM(J22:J31)</f>
        <v>-12106</v>
      </c>
      <c r="L21" s="128"/>
      <c r="M21" s="128"/>
      <c r="N21" s="128"/>
      <c r="O21" s="128"/>
      <c r="P21" s="128"/>
      <c r="Q21" s="128"/>
      <c r="R21" s="128"/>
      <c r="S21" s="128"/>
    </row>
    <row r="22" spans="1:19" ht="28.5" customHeight="1">
      <c r="A22" s="420" t="s">
        <v>255</v>
      </c>
      <c r="B22" s="127">
        <v>3131</v>
      </c>
      <c r="C22" s="116">
        <v>-2065</v>
      </c>
      <c r="D22" s="116">
        <v>-2166</v>
      </c>
      <c r="E22" s="116">
        <v>-2166</v>
      </c>
      <c r="F22" s="116">
        <f t="shared" si="0"/>
        <v>-391</v>
      </c>
      <c r="G22" s="116">
        <v>-319</v>
      </c>
      <c r="H22" s="116">
        <f>-'ІІ. Розр. з бюджетом'!G28</f>
        <v>-22</v>
      </c>
      <c r="I22" s="116">
        <f>-'ІІ. Розр. з бюджетом'!H28</f>
        <v>-24</v>
      </c>
      <c r="J22" s="116">
        <f>-'ІІ. Розр. з бюджетом'!I28</f>
        <v>-26</v>
      </c>
      <c r="L22" s="128" t="s">
        <v>706</v>
      </c>
      <c r="M22" s="128"/>
      <c r="N22" s="128"/>
      <c r="O22" s="128"/>
      <c r="P22" s="128"/>
      <c r="Q22" s="128"/>
      <c r="R22" s="128"/>
      <c r="S22" s="128"/>
    </row>
    <row r="23" spans="1:19" ht="28.5" customHeight="1">
      <c r="A23" s="420" t="s">
        <v>256</v>
      </c>
      <c r="B23" s="127">
        <v>3132</v>
      </c>
      <c r="C23" s="116">
        <v>-15043</v>
      </c>
      <c r="D23" s="116">
        <f>-'ІІ. Розр. з бюджетом'!D20</f>
        <v>-14400</v>
      </c>
      <c r="E23" s="116">
        <f>-'ІІ. Розр. з бюджетом'!E20</f>
        <v>-16126</v>
      </c>
      <c r="F23" s="116">
        <f t="shared" si="0"/>
        <v>-16000</v>
      </c>
      <c r="G23" s="116">
        <f>-'ІІ. Розр. з бюджетом'!G20</f>
        <v>-4000</v>
      </c>
      <c r="H23" s="116">
        <f>-'ІІ. Розр. з бюджетом'!H20</f>
        <v>-4000</v>
      </c>
      <c r="I23" s="116">
        <f>-'ІІ. Розр. з бюджетом'!I20</f>
        <v>-4000</v>
      </c>
      <c r="J23" s="116">
        <f>-'ІІ. Розр. з бюджетом'!J20</f>
        <v>-4000</v>
      </c>
      <c r="L23" s="128"/>
      <c r="M23" s="128"/>
      <c r="N23" s="128"/>
      <c r="O23" s="128"/>
      <c r="P23" s="128"/>
      <c r="Q23" s="128"/>
      <c r="R23" s="128"/>
      <c r="S23" s="128"/>
    </row>
    <row r="24" spans="1:19" ht="28.5" customHeight="1">
      <c r="A24" s="420" t="s">
        <v>74</v>
      </c>
      <c r="B24" s="127">
        <v>3133</v>
      </c>
      <c r="C24" s="116">
        <v>-8540</v>
      </c>
      <c r="D24" s="116">
        <f>-'ІІ. Розр. з бюджетом'!D29</f>
        <v>-9073</v>
      </c>
      <c r="E24" s="116">
        <f>-'ІІ. Розр. з бюджетом'!E29</f>
        <v>-9637</v>
      </c>
      <c r="F24" s="116">
        <f t="shared" si="0"/>
        <v>-10542</v>
      </c>
      <c r="G24" s="116">
        <f>-'ІІ. Розр. з бюджетом'!G29</f>
        <v>-2635</v>
      </c>
      <c r="H24" s="116">
        <f>-'ІІ. Розр. з бюджетом'!H29</f>
        <v>-2636</v>
      </c>
      <c r="I24" s="116">
        <f>-'ІІ. Розр. з бюджетом'!I29</f>
        <v>-2635</v>
      </c>
      <c r="J24" s="116">
        <f>-'ІІ. Розр. з бюджетом'!J29</f>
        <v>-2636</v>
      </c>
      <c r="K24" s="336"/>
      <c r="L24" s="128"/>
      <c r="M24" s="128"/>
      <c r="N24" s="128"/>
      <c r="O24" s="128"/>
      <c r="P24" s="128"/>
      <c r="Q24" s="128"/>
      <c r="R24" s="128"/>
      <c r="S24" s="128"/>
    </row>
    <row r="25" spans="1:19" ht="28.5" customHeight="1">
      <c r="A25" s="420" t="s">
        <v>367</v>
      </c>
      <c r="B25" s="127">
        <v>3134</v>
      </c>
      <c r="C25" s="116" t="s">
        <v>195</v>
      </c>
      <c r="D25" s="116" t="s">
        <v>195</v>
      </c>
      <c r="E25" s="116" t="s">
        <v>195</v>
      </c>
      <c r="F25" s="116">
        <f t="shared" si="0"/>
        <v>0</v>
      </c>
      <c r="G25" s="116" t="s">
        <v>195</v>
      </c>
      <c r="H25" s="116" t="s">
        <v>195</v>
      </c>
      <c r="I25" s="116" t="s">
        <v>195</v>
      </c>
      <c r="J25" s="116" t="s">
        <v>195</v>
      </c>
      <c r="L25" s="128"/>
      <c r="M25" s="128"/>
      <c r="N25" s="128"/>
      <c r="O25" s="128"/>
      <c r="P25" s="128"/>
      <c r="Q25" s="128"/>
      <c r="R25" s="128"/>
      <c r="S25" s="128"/>
    </row>
    <row r="26" spans="1:19" ht="28.5" customHeight="1">
      <c r="A26" s="420" t="s">
        <v>285</v>
      </c>
      <c r="B26" s="127">
        <v>3135</v>
      </c>
      <c r="C26" s="116">
        <f>-'ІІ. Розр. з бюджетом'!C31</f>
        <v>-193</v>
      </c>
      <c r="D26" s="116">
        <f>-'ІІ. Розр. з бюджетом'!D31</f>
        <v>-192</v>
      </c>
      <c r="E26" s="116">
        <f>-'ІІ. Розр. з бюджетом'!E31</f>
        <v>-192</v>
      </c>
      <c r="F26" s="116">
        <f t="shared" si="0"/>
        <v>-216</v>
      </c>
      <c r="G26" s="116">
        <f>-'ІІ. Розр. з бюджетом'!G31</f>
        <v>-54</v>
      </c>
      <c r="H26" s="116">
        <f>-'ІІ. Розр. з бюджетом'!H31</f>
        <v>-54</v>
      </c>
      <c r="I26" s="116">
        <f>-'ІІ. Розр. з бюджетом'!I31</f>
        <v>-54</v>
      </c>
      <c r="J26" s="116">
        <f>-'ІІ. Розр. з бюджетом'!J31</f>
        <v>-54</v>
      </c>
      <c r="L26" s="128"/>
      <c r="M26" s="128"/>
      <c r="N26" s="128"/>
      <c r="O26" s="128"/>
      <c r="P26" s="128"/>
      <c r="Q26" s="128"/>
      <c r="R26" s="128"/>
      <c r="S26" s="128"/>
    </row>
    <row r="27" spans="1:19" ht="28.5" customHeight="1">
      <c r="A27" s="420" t="s">
        <v>286</v>
      </c>
      <c r="B27" s="127">
        <v>3136</v>
      </c>
      <c r="C27" s="116" t="s">
        <v>195</v>
      </c>
      <c r="D27" s="116" t="s">
        <v>195</v>
      </c>
      <c r="E27" s="116" t="s">
        <v>195</v>
      </c>
      <c r="F27" s="116">
        <f t="shared" si="0"/>
        <v>0</v>
      </c>
      <c r="G27" s="116" t="s">
        <v>195</v>
      </c>
      <c r="H27" s="116" t="s">
        <v>195</v>
      </c>
      <c r="I27" s="116" t="s">
        <v>195</v>
      </c>
      <c r="J27" s="116" t="s">
        <v>195</v>
      </c>
      <c r="K27" s="128"/>
      <c r="L27" s="128"/>
      <c r="M27" s="128"/>
      <c r="N27" s="128"/>
      <c r="O27" s="128"/>
      <c r="P27" s="128"/>
      <c r="Q27" s="128"/>
      <c r="R27" s="128"/>
      <c r="S27" s="128"/>
    </row>
    <row r="28" spans="1:19" ht="28.5" customHeight="1">
      <c r="A28" s="420" t="s">
        <v>292</v>
      </c>
      <c r="B28" s="127">
        <v>3137</v>
      </c>
      <c r="C28" s="116" t="s">
        <v>195</v>
      </c>
      <c r="D28" s="116" t="s">
        <v>195</v>
      </c>
      <c r="E28" s="116" t="s">
        <v>195</v>
      </c>
      <c r="F28" s="116">
        <f t="shared" si="0"/>
        <v>0</v>
      </c>
      <c r="G28" s="116" t="s">
        <v>195</v>
      </c>
      <c r="H28" s="116" t="s">
        <v>195</v>
      </c>
      <c r="I28" s="116" t="s">
        <v>195</v>
      </c>
      <c r="J28" s="116" t="s">
        <v>195</v>
      </c>
      <c r="L28" s="128"/>
      <c r="M28" s="128"/>
      <c r="N28" s="128"/>
      <c r="O28" s="128"/>
      <c r="P28" s="128"/>
      <c r="Q28" s="128"/>
      <c r="R28" s="128"/>
      <c r="S28" s="128"/>
    </row>
    <row r="29" spans="1:19" ht="28.5" customHeight="1">
      <c r="A29" s="420" t="s">
        <v>363</v>
      </c>
      <c r="B29" s="127">
        <v>3138</v>
      </c>
      <c r="C29" s="116">
        <v>-763</v>
      </c>
      <c r="D29" s="116">
        <f>-'ІІ. Розр. з бюджетом'!D25</f>
        <v>-2520</v>
      </c>
      <c r="E29" s="116">
        <f>-'ІІ. Розр. з бюджетом'!E25</f>
        <v>-2677</v>
      </c>
      <c r="F29" s="116">
        <f t="shared" si="0"/>
        <v>-2928</v>
      </c>
      <c r="G29" s="116">
        <f>-'ІІ. Розр. з бюджетом'!G25</f>
        <v>-732</v>
      </c>
      <c r="H29" s="116">
        <f>-'ІІ. Розр. з бюджетом'!H25</f>
        <v>-732</v>
      </c>
      <c r="I29" s="116">
        <f>-'ІІ. Розр. з бюджетом'!I25</f>
        <v>-732</v>
      </c>
      <c r="J29" s="116">
        <f>-'ІІ. Розр. з бюджетом'!J25</f>
        <v>-732</v>
      </c>
      <c r="L29" s="128"/>
      <c r="M29" s="128"/>
      <c r="N29" s="128"/>
      <c r="O29" s="128"/>
      <c r="P29" s="128"/>
      <c r="Q29" s="128"/>
      <c r="R29" s="128"/>
      <c r="S29" s="128"/>
    </row>
    <row r="30" spans="1:19" ht="28.5" customHeight="1">
      <c r="A30" s="420" t="s">
        <v>368</v>
      </c>
      <c r="B30" s="127">
        <v>3139</v>
      </c>
      <c r="C30" s="116">
        <v>-9861</v>
      </c>
      <c r="D30" s="116">
        <f>-'ІІ. Розр. з бюджетом'!D38</f>
        <v>-11088</v>
      </c>
      <c r="E30" s="116">
        <f>-'ІІ. Розр. з бюджетом'!E38</f>
        <v>-11171</v>
      </c>
      <c r="F30" s="116">
        <f t="shared" si="0"/>
        <v>-12884</v>
      </c>
      <c r="G30" s="116">
        <f>-'ІІ. Розр. з бюджетом'!G38</f>
        <v>-3221</v>
      </c>
      <c r="H30" s="116">
        <f>-'ІІ. Розр. з бюджетом'!H38</f>
        <v>-3221</v>
      </c>
      <c r="I30" s="116">
        <f>-'ІІ. Розр. з бюджетом'!I38</f>
        <v>-3221</v>
      </c>
      <c r="J30" s="116">
        <f>-'ІІ. Розр. з бюджетом'!J38</f>
        <v>-3221</v>
      </c>
      <c r="L30" s="128"/>
      <c r="M30" s="128"/>
      <c r="N30" s="128"/>
      <c r="O30" s="128"/>
      <c r="P30" s="128"/>
      <c r="Q30" s="128"/>
      <c r="R30" s="128"/>
      <c r="S30" s="128"/>
    </row>
    <row r="31" spans="1:19" ht="28.5" customHeight="1">
      <c r="A31" s="420" t="s">
        <v>422</v>
      </c>
      <c r="B31" s="127">
        <v>3140</v>
      </c>
      <c r="C31" s="116">
        <v>-5626</v>
      </c>
      <c r="D31" s="116">
        <v>-5575</v>
      </c>
      <c r="E31" s="116">
        <v>-5575</v>
      </c>
      <c r="F31" s="116">
        <f t="shared" si="0"/>
        <v>-5721</v>
      </c>
      <c r="G31" s="116">
        <v>-1410</v>
      </c>
      <c r="H31" s="116">
        <f>-'ІІ. Розр. з бюджетом'!G39</f>
        <v>-1437</v>
      </c>
      <c r="I31" s="116">
        <f>-'ІІ. Розр. з бюджетом'!H39</f>
        <v>-1437</v>
      </c>
      <c r="J31" s="116">
        <f>-'ІІ. Розр. з бюджетом'!I39</f>
        <v>-1437</v>
      </c>
      <c r="L31" s="128" t="s">
        <v>707</v>
      </c>
      <c r="M31" s="128"/>
      <c r="N31" s="128"/>
      <c r="O31" s="128"/>
      <c r="P31" s="128"/>
      <c r="Q31" s="128"/>
      <c r="R31" s="128"/>
      <c r="S31" s="128"/>
    </row>
    <row r="32" spans="1:19" ht="28.5" customHeight="1">
      <c r="A32" s="420" t="s">
        <v>257</v>
      </c>
      <c r="B32" s="127">
        <v>3150</v>
      </c>
      <c r="C32" s="116" t="s">
        <v>195</v>
      </c>
      <c r="D32" s="116" t="s">
        <v>195</v>
      </c>
      <c r="E32" s="116" t="s">
        <v>195</v>
      </c>
      <c r="F32" s="116">
        <f t="shared" si="0"/>
        <v>0</v>
      </c>
      <c r="G32" s="116" t="s">
        <v>195</v>
      </c>
      <c r="H32" s="116" t="s">
        <v>195</v>
      </c>
      <c r="I32" s="116" t="s">
        <v>195</v>
      </c>
      <c r="J32" s="116" t="s">
        <v>195</v>
      </c>
      <c r="L32" s="128"/>
      <c r="M32" s="128"/>
      <c r="N32" s="128"/>
      <c r="O32" s="128"/>
      <c r="P32" s="128"/>
      <c r="Q32" s="128"/>
      <c r="R32" s="128"/>
      <c r="S32" s="128"/>
    </row>
    <row r="33" spans="1:19" ht="28.5" customHeight="1">
      <c r="A33" s="420" t="s">
        <v>305</v>
      </c>
      <c r="B33" s="127">
        <v>3160</v>
      </c>
      <c r="C33" s="116">
        <f>'Розшифровка до Руху'!C17</f>
        <v>-577</v>
      </c>
      <c r="D33" s="116">
        <f>'Розшифровка до Руху'!D17</f>
        <v>-36</v>
      </c>
      <c r="E33" s="116">
        <f>'Розшифровка до Руху'!E17</f>
        <v>-36</v>
      </c>
      <c r="F33" s="116">
        <f t="shared" si="0"/>
        <v>0</v>
      </c>
      <c r="G33" s="116">
        <f>'Розшифровка до Руху'!G17</f>
        <v>0</v>
      </c>
      <c r="H33" s="116">
        <f>'Розшифровка до Руху'!H17</f>
        <v>0</v>
      </c>
      <c r="I33" s="116">
        <f>'Розшифровка до Руху'!I17</f>
        <v>0</v>
      </c>
      <c r="J33" s="116">
        <f>'Розшифровка до Руху'!J17</f>
        <v>0</v>
      </c>
      <c r="L33" s="128"/>
      <c r="M33" s="128"/>
      <c r="N33" s="128"/>
      <c r="O33" s="128"/>
      <c r="P33" s="128"/>
      <c r="Q33" s="128"/>
      <c r="R33" s="128"/>
      <c r="S33" s="128"/>
    </row>
    <row r="34" spans="1:19" ht="34.5" customHeight="1">
      <c r="A34" s="125" t="s">
        <v>209</v>
      </c>
      <c r="B34" s="126">
        <v>3195</v>
      </c>
      <c r="C34" s="117">
        <f>SUM(C8,C18)</f>
        <v>17129</v>
      </c>
      <c r="D34" s="117">
        <f>SUM(D8,D18)</f>
        <v>10372</v>
      </c>
      <c r="E34" s="117">
        <f>SUM(E8,E18)</f>
        <v>14927</v>
      </c>
      <c r="F34" s="117">
        <f t="shared" si="0"/>
        <v>-384</v>
      </c>
      <c r="G34" s="117">
        <f>SUM(G8,G18)</f>
        <v>-47</v>
      </c>
      <c r="H34" s="117">
        <f>SUM(H8,H18)</f>
        <v>-277</v>
      </c>
      <c r="I34" s="117">
        <f>SUM(I8,I18)</f>
        <v>-279</v>
      </c>
      <c r="J34" s="117">
        <f>SUM(J8,J18)</f>
        <v>219</v>
      </c>
      <c r="L34" s="128"/>
      <c r="M34" s="128"/>
      <c r="N34" s="128"/>
      <c r="O34" s="128"/>
      <c r="P34" s="128"/>
      <c r="Q34" s="128"/>
      <c r="R34" s="128"/>
      <c r="S34" s="128"/>
    </row>
    <row r="35" spans="1:19" ht="42" customHeight="1">
      <c r="A35" s="119" t="s">
        <v>110</v>
      </c>
      <c r="B35" s="120"/>
      <c r="C35" s="129"/>
      <c r="D35" s="129"/>
      <c r="E35" s="129"/>
      <c r="F35" s="129"/>
      <c r="G35" s="129"/>
      <c r="H35" s="129"/>
      <c r="I35" s="129"/>
      <c r="J35" s="363"/>
      <c r="L35" s="128"/>
      <c r="M35" s="128"/>
      <c r="N35" s="128"/>
      <c r="O35" s="128"/>
      <c r="P35" s="128"/>
      <c r="Q35" s="128"/>
      <c r="R35" s="128"/>
      <c r="S35" s="128"/>
    </row>
    <row r="36" spans="1:19" ht="34.5" customHeight="1">
      <c r="A36" s="125" t="s">
        <v>258</v>
      </c>
      <c r="B36" s="126">
        <v>3200</v>
      </c>
      <c r="C36" s="117">
        <f>SUM(C37:C40)</f>
        <v>0</v>
      </c>
      <c r="D36" s="117">
        <f t="shared" ref="D36:J36" si="1">SUM(D37:D40)</f>
        <v>0</v>
      </c>
      <c r="E36" s="117">
        <f t="shared" si="1"/>
        <v>0</v>
      </c>
      <c r="F36" s="116">
        <f>SUM(G36:J36)</f>
        <v>0</v>
      </c>
      <c r="G36" s="117">
        <f t="shared" si="1"/>
        <v>0</v>
      </c>
      <c r="H36" s="117">
        <f t="shared" si="1"/>
        <v>0</v>
      </c>
      <c r="I36" s="117">
        <f t="shared" si="1"/>
        <v>0</v>
      </c>
      <c r="J36" s="117">
        <f t="shared" si="1"/>
        <v>0</v>
      </c>
      <c r="L36" s="128"/>
      <c r="M36" s="128"/>
      <c r="N36" s="128"/>
      <c r="O36" s="128"/>
      <c r="P36" s="128"/>
      <c r="Q36" s="128"/>
      <c r="R36" s="128"/>
      <c r="S36" s="128"/>
    </row>
    <row r="37" spans="1:19" ht="28.5" customHeight="1">
      <c r="A37" s="420" t="s">
        <v>259</v>
      </c>
      <c r="B37" s="127">
        <v>3210</v>
      </c>
      <c r="C37" s="116"/>
      <c r="D37" s="116"/>
      <c r="E37" s="117">
        <f t="shared" ref="E37:E63" si="2">D37</f>
        <v>0</v>
      </c>
      <c r="F37" s="116">
        <f>SUM(G37:J37)</f>
        <v>0</v>
      </c>
      <c r="G37" s="116"/>
      <c r="H37" s="116"/>
      <c r="I37" s="116"/>
      <c r="J37" s="116"/>
      <c r="L37" s="128"/>
      <c r="M37" s="128"/>
      <c r="N37" s="128"/>
      <c r="O37" s="128"/>
      <c r="P37" s="128"/>
      <c r="Q37" s="128"/>
      <c r="R37" s="128"/>
      <c r="S37" s="128"/>
    </row>
    <row r="38" spans="1:19" ht="28.5" customHeight="1">
      <c r="A38" s="420" t="s">
        <v>260</v>
      </c>
      <c r="B38" s="127">
        <v>3220</v>
      </c>
      <c r="C38" s="116"/>
      <c r="D38" s="116"/>
      <c r="E38" s="117">
        <f t="shared" si="2"/>
        <v>0</v>
      </c>
      <c r="F38" s="116">
        <f t="shared" ref="F38:F52" si="3">SUM(G38:J38)</f>
        <v>0</v>
      </c>
      <c r="G38" s="116"/>
      <c r="H38" s="116"/>
      <c r="I38" s="116"/>
      <c r="J38" s="116"/>
      <c r="L38" s="128"/>
      <c r="M38" s="128"/>
      <c r="N38" s="128"/>
      <c r="O38" s="128"/>
      <c r="P38" s="128"/>
      <c r="Q38" s="128"/>
      <c r="R38" s="128"/>
      <c r="S38" s="128"/>
    </row>
    <row r="39" spans="1:19" ht="28.5" customHeight="1">
      <c r="A39" s="420" t="s">
        <v>47</v>
      </c>
      <c r="B39" s="127">
        <v>3230</v>
      </c>
      <c r="C39" s="116"/>
      <c r="D39" s="116"/>
      <c r="E39" s="117">
        <f t="shared" si="2"/>
        <v>0</v>
      </c>
      <c r="F39" s="116">
        <f t="shared" si="3"/>
        <v>0</v>
      </c>
      <c r="G39" s="116"/>
      <c r="H39" s="116"/>
      <c r="I39" s="116"/>
      <c r="J39" s="116"/>
      <c r="L39" s="128"/>
      <c r="M39" s="128"/>
      <c r="N39" s="128"/>
      <c r="O39" s="128"/>
      <c r="P39" s="128"/>
      <c r="Q39" s="128"/>
      <c r="R39" s="128"/>
      <c r="S39" s="128"/>
    </row>
    <row r="40" spans="1:19" ht="28.5" customHeight="1">
      <c r="A40" s="420" t="s">
        <v>366</v>
      </c>
      <c r="B40" s="127">
        <v>3240</v>
      </c>
      <c r="C40" s="116"/>
      <c r="D40" s="116"/>
      <c r="E40" s="117">
        <f t="shared" si="2"/>
        <v>0</v>
      </c>
      <c r="F40" s="116">
        <f t="shared" si="3"/>
        <v>0</v>
      </c>
      <c r="G40" s="116"/>
      <c r="H40" s="116"/>
      <c r="I40" s="116"/>
      <c r="J40" s="116"/>
      <c r="L40" s="128"/>
      <c r="M40" s="128"/>
      <c r="N40" s="128"/>
      <c r="O40" s="128"/>
      <c r="P40" s="128"/>
      <c r="Q40" s="128"/>
      <c r="R40" s="128"/>
      <c r="S40" s="128"/>
    </row>
    <row r="41" spans="1:19" ht="39" customHeight="1">
      <c r="A41" s="125" t="s">
        <v>261</v>
      </c>
      <c r="B41" s="126">
        <v>3255</v>
      </c>
      <c r="C41" s="117">
        <f>SUM(C42,C44,C51)</f>
        <v>-6991</v>
      </c>
      <c r="D41" s="117">
        <f t="shared" ref="D41:E41" si="4">SUM(D42,D44,D51)</f>
        <v>-12379</v>
      </c>
      <c r="E41" s="117">
        <f t="shared" si="4"/>
        <v>-12379</v>
      </c>
      <c r="F41" s="117">
        <f t="shared" si="3"/>
        <v>-192</v>
      </c>
      <c r="G41" s="117">
        <f t="shared" ref="G41" si="5">SUM(G42,G44,G51)</f>
        <v>-48</v>
      </c>
      <c r="H41" s="117">
        <f t="shared" ref="H41:I41" si="6">SUM(H42,H44,H51)</f>
        <v>-48</v>
      </c>
      <c r="I41" s="117">
        <f t="shared" si="6"/>
        <v>-48</v>
      </c>
      <c r="J41" s="117">
        <f t="shared" ref="J41" si="7">SUM(J42,J44,J51)</f>
        <v>-48</v>
      </c>
      <c r="L41" s="128"/>
      <c r="M41" s="128"/>
      <c r="N41" s="128"/>
      <c r="O41" s="128"/>
      <c r="P41" s="128"/>
      <c r="Q41" s="128"/>
      <c r="R41" s="128"/>
      <c r="S41" s="128"/>
    </row>
    <row r="42" spans="1:19" ht="31.5" customHeight="1">
      <c r="A42" s="130" t="s">
        <v>372</v>
      </c>
      <c r="B42" s="131">
        <v>3260</v>
      </c>
      <c r="C42" s="116" t="str">
        <f>C43</f>
        <v>(    )</v>
      </c>
      <c r="D42" s="116" t="str">
        <f t="shared" ref="D42:J42" si="8">D43</f>
        <v>(    )</v>
      </c>
      <c r="E42" s="116" t="str">
        <f t="shared" si="2"/>
        <v>(    )</v>
      </c>
      <c r="F42" s="116">
        <f t="shared" si="3"/>
        <v>0</v>
      </c>
      <c r="G42" s="116" t="str">
        <f t="shared" si="8"/>
        <v>(    )</v>
      </c>
      <c r="H42" s="116" t="str">
        <f t="shared" si="8"/>
        <v>(    )</v>
      </c>
      <c r="I42" s="116" t="str">
        <f t="shared" si="8"/>
        <v>(    )</v>
      </c>
      <c r="J42" s="116" t="str">
        <f t="shared" si="8"/>
        <v>(    )</v>
      </c>
      <c r="L42" s="128"/>
      <c r="M42" s="128"/>
      <c r="N42" s="128"/>
      <c r="O42" s="128"/>
      <c r="P42" s="128"/>
      <c r="Q42" s="128"/>
      <c r="R42" s="128"/>
      <c r="S42" s="128"/>
    </row>
    <row r="43" spans="1:19" ht="31.5" customHeight="1">
      <c r="A43" s="130" t="s">
        <v>373</v>
      </c>
      <c r="B43" s="131">
        <v>3261</v>
      </c>
      <c r="C43" s="116" t="s">
        <v>195</v>
      </c>
      <c r="D43" s="116" t="s">
        <v>195</v>
      </c>
      <c r="E43" s="116" t="str">
        <f t="shared" si="2"/>
        <v>(    )</v>
      </c>
      <c r="F43" s="116">
        <f t="shared" si="3"/>
        <v>0</v>
      </c>
      <c r="G43" s="116" t="s">
        <v>195</v>
      </c>
      <c r="H43" s="116" t="s">
        <v>195</v>
      </c>
      <c r="I43" s="116" t="s">
        <v>195</v>
      </c>
      <c r="J43" s="116" t="s">
        <v>195</v>
      </c>
      <c r="L43" s="128"/>
      <c r="M43" s="128"/>
      <c r="N43" s="128"/>
      <c r="O43" s="128"/>
      <c r="P43" s="128"/>
      <c r="Q43" s="128"/>
      <c r="R43" s="128"/>
      <c r="S43" s="128"/>
    </row>
    <row r="44" spans="1:19" ht="31.5" customHeight="1">
      <c r="A44" s="130" t="s">
        <v>374</v>
      </c>
      <c r="B44" s="131">
        <v>3270</v>
      </c>
      <c r="C44" s="116">
        <f>SUM(C45:C50)</f>
        <v>-6991</v>
      </c>
      <c r="D44" s="116">
        <f>SUM(D45:D50)</f>
        <v>-12379</v>
      </c>
      <c r="E44" s="116">
        <f>SUM(E45:E50)</f>
        <v>-12379</v>
      </c>
      <c r="F44" s="116">
        <f>SUM(G44:J44)</f>
        <v>-192</v>
      </c>
      <c r="G44" s="116">
        <f>SUM(G45:G50)</f>
        <v>-48</v>
      </c>
      <c r="H44" s="116">
        <f>SUM(H45:H50)</f>
        <v>-48</v>
      </c>
      <c r="I44" s="116">
        <f>SUM(I45:I50)</f>
        <v>-48</v>
      </c>
      <c r="J44" s="116">
        <f>SUM(J45:J50)</f>
        <v>-48</v>
      </c>
    </row>
    <row r="45" spans="1:19" ht="31.5" customHeight="1">
      <c r="A45" s="130" t="s">
        <v>504</v>
      </c>
      <c r="B45" s="131">
        <v>3271</v>
      </c>
      <c r="C45" s="116" t="s">
        <v>195</v>
      </c>
      <c r="D45" s="116" t="s">
        <v>195</v>
      </c>
      <c r="E45" s="116" t="s">
        <v>195</v>
      </c>
      <c r="F45" s="116">
        <f t="shared" si="3"/>
        <v>0</v>
      </c>
      <c r="G45" s="116" t="s">
        <v>195</v>
      </c>
      <c r="H45" s="116" t="s">
        <v>195</v>
      </c>
      <c r="I45" s="116" t="s">
        <v>195</v>
      </c>
      <c r="J45" s="116" t="s">
        <v>195</v>
      </c>
      <c r="L45" s="128"/>
      <c r="M45" s="128"/>
      <c r="N45" s="128"/>
      <c r="O45" s="128"/>
      <c r="P45" s="128"/>
      <c r="Q45" s="128"/>
      <c r="R45" s="128"/>
      <c r="S45" s="128"/>
    </row>
    <row r="46" spans="1:19" ht="31.5" customHeight="1">
      <c r="A46" s="420" t="s">
        <v>708</v>
      </c>
      <c r="B46" s="127">
        <v>3272</v>
      </c>
      <c r="C46" s="116">
        <f>'Розшифровка до Руху'!C31</f>
        <v>-5950</v>
      </c>
      <c r="D46" s="116">
        <f>'Розшифровка до Руху'!D31</f>
        <v>-8772</v>
      </c>
      <c r="E46" s="116">
        <f>'Розшифровка до Руху'!E31</f>
        <v>-8772</v>
      </c>
      <c r="F46" s="116">
        <f t="shared" si="3"/>
        <v>0</v>
      </c>
      <c r="G46" s="116">
        <f>'Розшифровка до Руху'!G31</f>
        <v>0</v>
      </c>
      <c r="H46" s="116">
        <f>'Розшифровка до Руху'!H31</f>
        <v>0</v>
      </c>
      <c r="I46" s="116">
        <f>'Розшифровка до Руху'!I31</f>
        <v>0</v>
      </c>
      <c r="J46" s="116">
        <f>'Розшифровка до Руху'!J31</f>
        <v>0</v>
      </c>
      <c r="L46" s="128"/>
      <c r="M46" s="128"/>
      <c r="N46" s="128"/>
      <c r="O46" s="128"/>
      <c r="P46" s="128"/>
      <c r="Q46" s="128"/>
      <c r="R46" s="128"/>
      <c r="S46" s="128"/>
    </row>
    <row r="47" spans="1:19" ht="31.5" customHeight="1">
      <c r="A47" s="420" t="s">
        <v>27</v>
      </c>
      <c r="B47" s="127">
        <v>3273</v>
      </c>
      <c r="C47" s="116">
        <f>'Розшифровка до Руху'!C40</f>
        <v>-742</v>
      </c>
      <c r="D47" s="116">
        <f>'Розшифровка до Руху'!D40</f>
        <v>-1467</v>
      </c>
      <c r="E47" s="116">
        <f>'Розшифровка до Руху'!E40</f>
        <v>-1467</v>
      </c>
      <c r="F47" s="116">
        <f t="shared" si="3"/>
        <v>-192</v>
      </c>
      <c r="G47" s="116">
        <f>'Розшифровка до Руху'!G40</f>
        <v>-48</v>
      </c>
      <c r="H47" s="116">
        <f>'Розшифровка до Руху'!H40</f>
        <v>-48</v>
      </c>
      <c r="I47" s="116">
        <f>'Розшифровка до Руху'!I40</f>
        <v>-48</v>
      </c>
      <c r="J47" s="116">
        <f>'Розшифровка до Руху'!J40</f>
        <v>-48</v>
      </c>
      <c r="L47" s="128"/>
      <c r="M47" s="128"/>
      <c r="N47" s="128"/>
      <c r="O47" s="128"/>
      <c r="P47" s="128"/>
      <c r="Q47" s="128"/>
      <c r="R47" s="128"/>
      <c r="S47" s="128"/>
    </row>
    <row r="48" spans="1:19" ht="31.5" customHeight="1">
      <c r="A48" s="420" t="s">
        <v>375</v>
      </c>
      <c r="B48" s="127">
        <v>3274</v>
      </c>
      <c r="C48" s="116" t="s">
        <v>195</v>
      </c>
      <c r="D48" s="116" t="s">
        <v>195</v>
      </c>
      <c r="E48" s="116" t="str">
        <f t="shared" si="2"/>
        <v>(    )</v>
      </c>
      <c r="F48" s="116">
        <f t="shared" si="3"/>
        <v>0</v>
      </c>
      <c r="G48" s="116" t="s">
        <v>195</v>
      </c>
      <c r="H48" s="116" t="s">
        <v>195</v>
      </c>
      <c r="I48" s="116" t="s">
        <v>195</v>
      </c>
      <c r="J48" s="116" t="s">
        <v>195</v>
      </c>
      <c r="L48" s="128"/>
      <c r="M48" s="128"/>
      <c r="N48" s="128"/>
      <c r="O48" s="128"/>
      <c r="P48" s="128"/>
      <c r="Q48" s="128"/>
      <c r="R48" s="128"/>
      <c r="S48" s="128"/>
    </row>
    <row r="49" spans="1:19" ht="46.5" customHeight="1">
      <c r="A49" s="420" t="s">
        <v>376</v>
      </c>
      <c r="B49" s="127">
        <v>3275</v>
      </c>
      <c r="C49" s="116">
        <f>'Розшифровка до Руху'!C45</f>
        <v>-299</v>
      </c>
      <c r="D49" s="116">
        <f>'Розшифровка до Руху'!D45</f>
        <v>-2140</v>
      </c>
      <c r="E49" s="116">
        <f>'Розшифровка до Руху'!E45</f>
        <v>-2140</v>
      </c>
      <c r="F49" s="116">
        <f>SUM(G49:J49)</f>
        <v>0</v>
      </c>
      <c r="G49" s="116">
        <f>'Розшифровка до Руху'!G45</f>
        <v>0</v>
      </c>
      <c r="H49" s="116">
        <f>'Розшифровка до Руху'!H45</f>
        <v>0</v>
      </c>
      <c r="I49" s="116">
        <f>'Розшифровка до Руху'!I45</f>
        <v>0</v>
      </c>
      <c r="J49" s="116">
        <f>'Розшифровка до Руху'!J45</f>
        <v>0</v>
      </c>
      <c r="L49" s="128"/>
      <c r="M49" s="128"/>
      <c r="N49" s="128"/>
      <c r="O49" s="128"/>
      <c r="P49" s="128"/>
      <c r="Q49" s="128"/>
      <c r="R49" s="128"/>
      <c r="S49" s="128"/>
    </row>
    <row r="50" spans="1:19" ht="30" customHeight="1">
      <c r="A50" s="420" t="s">
        <v>377</v>
      </c>
      <c r="B50" s="127">
        <v>3276</v>
      </c>
      <c r="C50" s="116" t="s">
        <v>195</v>
      </c>
      <c r="D50" s="116" t="s">
        <v>195</v>
      </c>
      <c r="E50" s="116" t="str">
        <f t="shared" si="2"/>
        <v>(    )</v>
      </c>
      <c r="F50" s="116">
        <f t="shared" si="3"/>
        <v>0</v>
      </c>
      <c r="G50" s="116" t="s">
        <v>195</v>
      </c>
      <c r="H50" s="116" t="s">
        <v>195</v>
      </c>
      <c r="I50" s="116" t="s">
        <v>195</v>
      </c>
      <c r="J50" s="116" t="s">
        <v>195</v>
      </c>
      <c r="L50" s="128"/>
      <c r="M50" s="128"/>
      <c r="N50" s="128"/>
      <c r="O50" s="128"/>
      <c r="P50" s="128"/>
      <c r="Q50" s="128"/>
      <c r="R50" s="128"/>
      <c r="S50" s="128"/>
    </row>
    <row r="51" spans="1:19" ht="30" customHeight="1">
      <c r="A51" s="420" t="s">
        <v>305</v>
      </c>
      <c r="B51" s="127">
        <v>3280</v>
      </c>
      <c r="C51" s="116" t="s">
        <v>195</v>
      </c>
      <c r="D51" s="116" t="s">
        <v>195</v>
      </c>
      <c r="E51" s="116" t="str">
        <f t="shared" si="2"/>
        <v>(    )</v>
      </c>
      <c r="F51" s="116">
        <f t="shared" si="3"/>
        <v>0</v>
      </c>
      <c r="G51" s="116" t="s">
        <v>195</v>
      </c>
      <c r="H51" s="116" t="s">
        <v>195</v>
      </c>
      <c r="I51" s="116" t="s">
        <v>195</v>
      </c>
      <c r="J51" s="116" t="s">
        <v>195</v>
      </c>
      <c r="L51" s="128"/>
      <c r="M51" s="128"/>
      <c r="N51" s="128"/>
      <c r="O51" s="128"/>
      <c r="P51" s="128"/>
      <c r="Q51" s="128"/>
      <c r="R51" s="128"/>
      <c r="S51" s="128"/>
    </row>
    <row r="52" spans="1:19" ht="34.5" customHeight="1">
      <c r="A52" s="125" t="s">
        <v>111</v>
      </c>
      <c r="B52" s="126">
        <v>3295</v>
      </c>
      <c r="C52" s="117">
        <f>SUM(C36,C41)</f>
        <v>-6991</v>
      </c>
      <c r="D52" s="117">
        <f t="shared" ref="D52:J52" si="9">SUM(D36,D41)</f>
        <v>-12379</v>
      </c>
      <c r="E52" s="117">
        <f t="shared" si="9"/>
        <v>-12379</v>
      </c>
      <c r="F52" s="117">
        <f t="shared" si="3"/>
        <v>-192</v>
      </c>
      <c r="G52" s="117">
        <f t="shared" si="9"/>
        <v>-48</v>
      </c>
      <c r="H52" s="117">
        <f t="shared" si="9"/>
        <v>-48</v>
      </c>
      <c r="I52" s="117">
        <f t="shared" si="9"/>
        <v>-48</v>
      </c>
      <c r="J52" s="117">
        <f t="shared" si="9"/>
        <v>-48</v>
      </c>
      <c r="L52" s="128"/>
      <c r="M52" s="128"/>
      <c r="N52" s="128"/>
      <c r="O52" s="128"/>
      <c r="P52" s="128"/>
      <c r="Q52" s="128"/>
      <c r="R52" s="128"/>
      <c r="S52" s="128"/>
    </row>
    <row r="53" spans="1:19" ht="34.5" customHeight="1">
      <c r="A53" s="119" t="s">
        <v>112</v>
      </c>
      <c r="B53" s="120"/>
      <c r="C53" s="122"/>
      <c r="D53" s="122"/>
      <c r="E53" s="117"/>
      <c r="F53" s="122"/>
      <c r="G53" s="122"/>
      <c r="H53" s="122"/>
      <c r="I53" s="122"/>
      <c r="J53" s="393"/>
      <c r="L53" s="128"/>
      <c r="M53" s="128"/>
      <c r="N53" s="128"/>
      <c r="O53" s="128"/>
      <c r="P53" s="128"/>
      <c r="Q53" s="128"/>
      <c r="R53" s="128"/>
      <c r="S53" s="128"/>
    </row>
    <row r="54" spans="1:19" ht="34.5" customHeight="1">
      <c r="A54" s="125" t="s">
        <v>262</v>
      </c>
      <c r="B54" s="126">
        <v>3300</v>
      </c>
      <c r="C54" s="117">
        <f>SUM(C55:C57)</f>
        <v>0</v>
      </c>
      <c r="D54" s="117">
        <f t="shared" ref="D54:J54" si="10">SUM(D55:D57)</f>
        <v>4510</v>
      </c>
      <c r="E54" s="117">
        <f t="shared" si="10"/>
        <v>4510</v>
      </c>
      <c r="F54" s="116">
        <f t="shared" ref="F54:F55" si="11">SUM(G54:J54)</f>
        <v>0</v>
      </c>
      <c r="G54" s="117">
        <f t="shared" si="10"/>
        <v>0</v>
      </c>
      <c r="H54" s="117">
        <f t="shared" si="10"/>
        <v>0</v>
      </c>
      <c r="I54" s="117">
        <f t="shared" si="10"/>
        <v>0</v>
      </c>
      <c r="J54" s="117">
        <f t="shared" si="10"/>
        <v>0</v>
      </c>
      <c r="L54" s="128"/>
      <c r="M54" s="128"/>
      <c r="N54" s="128"/>
      <c r="O54" s="128"/>
      <c r="P54" s="128"/>
      <c r="Q54" s="128"/>
      <c r="R54" s="128"/>
      <c r="S54" s="128"/>
    </row>
    <row r="55" spans="1:19" ht="28.5" customHeight="1">
      <c r="A55" s="420" t="s">
        <v>263</v>
      </c>
      <c r="B55" s="127">
        <v>3310</v>
      </c>
      <c r="C55" s="116">
        <f>'VII Статутн капіт'!C9</f>
        <v>0</v>
      </c>
      <c r="D55" s="116">
        <f>'VII Статутн капіт'!D9</f>
        <v>4510</v>
      </c>
      <c r="E55" s="116">
        <f>'VII Статутн капіт'!E9</f>
        <v>4510</v>
      </c>
      <c r="F55" s="116">
        <f t="shared" si="11"/>
        <v>0</v>
      </c>
      <c r="G55" s="116">
        <f>'VII Статутн капіт'!G9</f>
        <v>0</v>
      </c>
      <c r="H55" s="116">
        <f>'VII Статутн капіт'!H9</f>
        <v>0</v>
      </c>
      <c r="I55" s="116">
        <f>'VII Статутн капіт'!I9</f>
        <v>0</v>
      </c>
      <c r="J55" s="116">
        <f>'VII Статутн капіт'!J9</f>
        <v>0</v>
      </c>
      <c r="L55" s="128"/>
      <c r="M55" s="128"/>
      <c r="N55" s="128"/>
      <c r="O55" s="128"/>
      <c r="P55" s="128"/>
      <c r="Q55" s="128"/>
      <c r="R55" s="128"/>
      <c r="S55" s="128"/>
    </row>
    <row r="56" spans="1:19" ht="28.5" customHeight="1">
      <c r="A56" s="420" t="s">
        <v>378</v>
      </c>
      <c r="B56" s="127">
        <v>3320</v>
      </c>
      <c r="C56" s="116"/>
      <c r="D56" s="116"/>
      <c r="E56" s="116">
        <f>D56</f>
        <v>0</v>
      </c>
      <c r="F56" s="116">
        <f>SUM(G56:J56)</f>
        <v>0</v>
      </c>
      <c r="G56" s="116"/>
      <c r="H56" s="116"/>
      <c r="I56" s="116"/>
      <c r="J56" s="116"/>
      <c r="K56" s="6">
        <v>4265</v>
      </c>
      <c r="L56" s="128"/>
      <c r="M56" s="128"/>
      <c r="N56" s="128"/>
      <c r="O56" s="128"/>
      <c r="P56" s="128"/>
      <c r="Q56" s="128"/>
      <c r="R56" s="128"/>
      <c r="S56" s="128"/>
    </row>
    <row r="57" spans="1:19" ht="28.5" customHeight="1">
      <c r="A57" s="420" t="s">
        <v>366</v>
      </c>
      <c r="B57" s="127">
        <v>3330</v>
      </c>
      <c r="C57" s="116"/>
      <c r="D57" s="116"/>
      <c r="E57" s="117"/>
      <c r="F57" s="116">
        <f t="shared" ref="F57:F65" si="12">SUM(G57:J57)</f>
        <v>0</v>
      </c>
      <c r="G57" s="116"/>
      <c r="H57" s="116"/>
      <c r="I57" s="116"/>
      <c r="J57" s="116"/>
      <c r="L57" s="128"/>
      <c r="M57" s="128"/>
      <c r="N57" s="128"/>
      <c r="O57" s="128"/>
      <c r="P57" s="128"/>
      <c r="Q57" s="128"/>
      <c r="R57" s="128"/>
      <c r="S57" s="128"/>
    </row>
    <row r="58" spans="1:19" ht="34.5" customHeight="1">
      <c r="A58" s="125" t="s">
        <v>264</v>
      </c>
      <c r="B58" s="126">
        <v>3345</v>
      </c>
      <c r="C58" s="117">
        <f>SUM(C59:C63)</f>
        <v>-8109</v>
      </c>
      <c r="D58" s="117">
        <f t="shared" ref="D58:E58" si="13">SUM(D59:D63)</f>
        <v>-2807</v>
      </c>
      <c r="E58" s="117">
        <f t="shared" si="13"/>
        <v>-2808</v>
      </c>
      <c r="F58" s="117">
        <f t="shared" si="12"/>
        <v>-1727</v>
      </c>
      <c r="G58" s="117">
        <f t="shared" ref="G58" si="14">SUM(G59:G63)</f>
        <v>-546</v>
      </c>
      <c r="H58" s="117">
        <f t="shared" ref="H58:I58" si="15">SUM(H59:H63)</f>
        <v>-403</v>
      </c>
      <c r="I58" s="117">
        <f t="shared" si="15"/>
        <v>-394</v>
      </c>
      <c r="J58" s="117">
        <f>SUM(J59:J63)</f>
        <v>-384</v>
      </c>
      <c r="L58" s="128"/>
      <c r="M58" s="128"/>
      <c r="N58" s="128"/>
      <c r="O58" s="128"/>
      <c r="P58" s="128"/>
      <c r="Q58" s="128"/>
      <c r="R58" s="128"/>
      <c r="S58" s="128"/>
    </row>
    <row r="59" spans="1:19" ht="28.5" customHeight="1">
      <c r="A59" s="420" t="s">
        <v>265</v>
      </c>
      <c r="B59" s="127">
        <v>3350</v>
      </c>
      <c r="C59" s="116" t="s">
        <v>195</v>
      </c>
      <c r="D59" s="116" t="s">
        <v>195</v>
      </c>
      <c r="E59" s="116" t="str">
        <f t="shared" si="2"/>
        <v>(    )</v>
      </c>
      <c r="F59" s="116">
        <f t="shared" si="12"/>
        <v>0</v>
      </c>
      <c r="G59" s="116" t="s">
        <v>195</v>
      </c>
      <c r="H59" s="116" t="s">
        <v>195</v>
      </c>
      <c r="I59" s="116" t="s">
        <v>195</v>
      </c>
      <c r="J59" s="116" t="s">
        <v>195</v>
      </c>
      <c r="L59" s="128"/>
      <c r="M59" s="128"/>
      <c r="N59" s="128"/>
      <c r="O59" s="128"/>
      <c r="P59" s="128"/>
      <c r="Q59" s="128"/>
      <c r="R59" s="128"/>
      <c r="S59" s="128"/>
    </row>
    <row r="60" spans="1:19" ht="28.5" customHeight="1">
      <c r="A60" s="420" t="s">
        <v>379</v>
      </c>
      <c r="B60" s="127">
        <v>3360</v>
      </c>
      <c r="C60" s="116">
        <f>-'Осн. фін. пок.'!C117</f>
        <v>-6450</v>
      </c>
      <c r="D60" s="116">
        <f>-'Осн. фін. пок.'!D117</f>
        <v>-1353</v>
      </c>
      <c r="E60" s="116">
        <f>-'Осн. фін. пок.'!E117</f>
        <v>-1354</v>
      </c>
      <c r="F60" s="116">
        <f>SUM(G60:J60)</f>
        <v>-1240</v>
      </c>
      <c r="G60" s="116">
        <f>-ROUND(кредити!X145/1000,0)-45</f>
        <v>-310</v>
      </c>
      <c r="H60" s="116">
        <f>-ROUND(кредити!X149/1000,0)-46+1</f>
        <v>-310</v>
      </c>
      <c r="I60" s="116">
        <f>-ROUND(кредити!X153/1000,0)-45</f>
        <v>-310</v>
      </c>
      <c r="J60" s="116">
        <f>-ROUND(кредити!X157/1000,0)-46+1</f>
        <v>-310</v>
      </c>
      <c r="L60" s="128"/>
      <c r="M60" s="128"/>
      <c r="N60" s="128"/>
      <c r="O60" s="128"/>
      <c r="P60" s="128"/>
      <c r="Q60" s="128"/>
      <c r="R60" s="128"/>
      <c r="S60" s="128"/>
    </row>
    <row r="61" spans="1:19" ht="28.5" customHeight="1">
      <c r="A61" s="420" t="s">
        <v>380</v>
      </c>
      <c r="B61" s="127">
        <v>3370</v>
      </c>
      <c r="C61" s="116">
        <v>-910</v>
      </c>
      <c r="D61" s="116">
        <v>-987</v>
      </c>
      <c r="E61" s="116">
        <f t="shared" ref="E61" si="16">D61</f>
        <v>-987</v>
      </c>
      <c r="F61" s="116">
        <f t="shared" si="12"/>
        <v>-178</v>
      </c>
      <c r="G61" s="116">
        <v>-145</v>
      </c>
      <c r="H61" s="116">
        <f>-'ІІ. Розр. з бюджетом'!G33</f>
        <v>-10</v>
      </c>
      <c r="I61" s="116">
        <f>-'ІІ. Розр. з бюджетом'!H33</f>
        <v>-11</v>
      </c>
      <c r="J61" s="116">
        <f>-'ІІ. Розр. з бюджетом'!I33</f>
        <v>-12</v>
      </c>
      <c r="L61" s="128" t="s">
        <v>709</v>
      </c>
      <c r="M61" s="128"/>
      <c r="N61" s="128"/>
      <c r="O61" s="128"/>
      <c r="P61" s="128"/>
      <c r="Q61" s="128"/>
      <c r="R61" s="128"/>
      <c r="S61" s="128"/>
    </row>
    <row r="62" spans="1:19" ht="28.5" customHeight="1">
      <c r="A62" s="420" t="s">
        <v>381</v>
      </c>
      <c r="B62" s="127">
        <v>3380</v>
      </c>
      <c r="C62" s="116">
        <f>'I. Фін результат'!C63</f>
        <v>-749</v>
      </c>
      <c r="D62" s="116">
        <f>'I. Фін результат'!D63</f>
        <v>-467</v>
      </c>
      <c r="E62" s="116">
        <f>'I. Фін результат'!E63</f>
        <v>-467</v>
      </c>
      <c r="F62" s="116">
        <f t="shared" si="12"/>
        <v>-309</v>
      </c>
      <c r="G62" s="116">
        <f>'I. Фін результат'!G63</f>
        <v>-91</v>
      </c>
      <c r="H62" s="116">
        <f>'I. Фін результат'!H63</f>
        <v>-83</v>
      </c>
      <c r="I62" s="116">
        <f>'I. Фін результат'!I63</f>
        <v>-73</v>
      </c>
      <c r="J62" s="116">
        <f>'I. Фін результат'!J63</f>
        <v>-62</v>
      </c>
      <c r="L62" s="128"/>
      <c r="M62" s="128"/>
      <c r="N62" s="128"/>
      <c r="O62" s="128"/>
      <c r="P62" s="128"/>
      <c r="Q62" s="128"/>
      <c r="R62" s="128"/>
      <c r="S62" s="128"/>
    </row>
    <row r="63" spans="1:19" ht="28.5" customHeight="1">
      <c r="A63" s="420" t="s">
        <v>305</v>
      </c>
      <c r="B63" s="127">
        <v>3390</v>
      </c>
      <c r="C63" s="116" t="s">
        <v>195</v>
      </c>
      <c r="D63" s="116" t="s">
        <v>195</v>
      </c>
      <c r="E63" s="116" t="str">
        <f t="shared" si="2"/>
        <v>(    )</v>
      </c>
      <c r="F63" s="116">
        <f>SUM(G63:J63)</f>
        <v>0</v>
      </c>
      <c r="G63" s="116" t="s">
        <v>195</v>
      </c>
      <c r="H63" s="116" t="s">
        <v>195</v>
      </c>
      <c r="I63" s="116" t="s">
        <v>195</v>
      </c>
      <c r="J63" s="116" t="s">
        <v>195</v>
      </c>
      <c r="L63" s="128"/>
      <c r="M63" s="128"/>
      <c r="N63" s="128"/>
      <c r="O63" s="128"/>
      <c r="P63" s="128"/>
      <c r="Q63" s="128"/>
      <c r="R63" s="128"/>
      <c r="S63" s="128"/>
    </row>
    <row r="64" spans="1:19" ht="31.5" customHeight="1">
      <c r="A64" s="125" t="s">
        <v>113</v>
      </c>
      <c r="B64" s="126">
        <v>3395</v>
      </c>
      <c r="C64" s="117">
        <f>SUM(C54,C58)</f>
        <v>-8109</v>
      </c>
      <c r="D64" s="117">
        <f>SUM(D54,D58)</f>
        <v>1703</v>
      </c>
      <c r="E64" s="117">
        <f>SUM(E54,E58)</f>
        <v>1702</v>
      </c>
      <c r="F64" s="117">
        <f t="shared" si="12"/>
        <v>-1727</v>
      </c>
      <c r="G64" s="117">
        <f t="shared" ref="G64:J64" si="17">SUM(G54,G58)</f>
        <v>-546</v>
      </c>
      <c r="H64" s="117">
        <f t="shared" si="17"/>
        <v>-403</v>
      </c>
      <c r="I64" s="117">
        <f t="shared" si="17"/>
        <v>-394</v>
      </c>
      <c r="J64" s="117">
        <f t="shared" si="17"/>
        <v>-384</v>
      </c>
      <c r="K64" s="6">
        <f>2172+910+588+161</f>
        <v>3831</v>
      </c>
      <c r="L64" s="128"/>
      <c r="M64" s="128"/>
      <c r="N64" s="128"/>
      <c r="O64" s="128"/>
      <c r="P64" s="128"/>
      <c r="Q64" s="128"/>
      <c r="R64" s="128"/>
      <c r="S64" s="128"/>
    </row>
    <row r="65" spans="1:19" ht="30" customHeight="1">
      <c r="A65" s="125" t="s">
        <v>28</v>
      </c>
      <c r="B65" s="126">
        <v>3400</v>
      </c>
      <c r="C65" s="117">
        <f>SUM(C34,C52,C64)</f>
        <v>2029</v>
      </c>
      <c r="D65" s="117">
        <f t="shared" ref="D65:E65" si="18">SUM(D34,D52,D64)</f>
        <v>-304</v>
      </c>
      <c r="E65" s="117">
        <f t="shared" si="18"/>
        <v>4250</v>
      </c>
      <c r="F65" s="117">
        <f t="shared" si="12"/>
        <v>-2303</v>
      </c>
      <c r="G65" s="117">
        <f t="shared" ref="G65" si="19">SUM(G34,G52,G64)</f>
        <v>-641</v>
      </c>
      <c r="H65" s="117">
        <f t="shared" ref="H65:I65" si="20">SUM(H34,H52,H64)</f>
        <v>-728</v>
      </c>
      <c r="I65" s="117">
        <f t="shared" si="20"/>
        <v>-721</v>
      </c>
      <c r="J65" s="117">
        <f t="shared" ref="J65" si="21">SUM(J34,J52,J64)</f>
        <v>-213</v>
      </c>
      <c r="L65" s="128"/>
      <c r="M65" s="128"/>
      <c r="N65" s="128"/>
      <c r="O65" s="128"/>
      <c r="P65" s="128"/>
      <c r="Q65" s="128"/>
      <c r="R65" s="128"/>
      <c r="S65" s="128"/>
    </row>
    <row r="66" spans="1:19" ht="30" customHeight="1">
      <c r="A66" s="420" t="s">
        <v>382</v>
      </c>
      <c r="B66" s="127">
        <v>3405</v>
      </c>
      <c r="C66" s="116">
        <v>6065</v>
      </c>
      <c r="D66" s="116">
        <v>7847</v>
      </c>
      <c r="E66" s="116">
        <f>C68</f>
        <v>8094</v>
      </c>
      <c r="F66" s="116">
        <f>E68</f>
        <v>12344</v>
      </c>
      <c r="G66" s="116">
        <f>F66</f>
        <v>12344</v>
      </c>
      <c r="H66" s="116">
        <f>G68</f>
        <v>11703</v>
      </c>
      <c r="I66" s="116">
        <f>H68</f>
        <v>10975</v>
      </c>
      <c r="J66" s="116">
        <f>I68</f>
        <v>10254</v>
      </c>
      <c r="L66" s="128"/>
      <c r="M66" s="128"/>
      <c r="N66" s="128"/>
      <c r="O66" s="128"/>
      <c r="P66" s="128"/>
      <c r="Q66" s="128"/>
      <c r="R66" s="128"/>
      <c r="S66" s="128"/>
    </row>
    <row r="67" spans="1:19" ht="30" customHeight="1">
      <c r="A67" s="420" t="s">
        <v>115</v>
      </c>
      <c r="B67" s="127">
        <v>3410</v>
      </c>
      <c r="C67" s="116"/>
      <c r="D67" s="116"/>
      <c r="E67" s="116"/>
      <c r="F67" s="116">
        <f>SUM(G67:J67)</f>
        <v>0</v>
      </c>
      <c r="G67" s="116"/>
      <c r="H67" s="116"/>
      <c r="I67" s="116"/>
      <c r="J67" s="116"/>
      <c r="L67" s="128"/>
      <c r="M67" s="128"/>
      <c r="N67" s="128"/>
      <c r="O67" s="128"/>
      <c r="P67" s="128"/>
      <c r="Q67" s="128"/>
      <c r="R67" s="128"/>
      <c r="S67" s="128"/>
    </row>
    <row r="68" spans="1:19" ht="30" customHeight="1">
      <c r="A68" s="420" t="s">
        <v>383</v>
      </c>
      <c r="B68" s="127">
        <v>3415</v>
      </c>
      <c r="C68" s="116">
        <f t="shared" ref="C68:J68" si="22">SUM(C66,C65,C67)</f>
        <v>8094</v>
      </c>
      <c r="D68" s="116">
        <f t="shared" si="22"/>
        <v>7543</v>
      </c>
      <c r="E68" s="116">
        <f t="shared" si="22"/>
        <v>12344</v>
      </c>
      <c r="F68" s="116">
        <f t="shared" si="22"/>
        <v>10041</v>
      </c>
      <c r="G68" s="116">
        <f t="shared" si="22"/>
        <v>11703</v>
      </c>
      <c r="H68" s="116">
        <f t="shared" si="22"/>
        <v>10975</v>
      </c>
      <c r="I68" s="116">
        <f t="shared" si="22"/>
        <v>10254</v>
      </c>
      <c r="J68" s="116">
        <f t="shared" si="22"/>
        <v>10041</v>
      </c>
      <c r="L68" s="128"/>
      <c r="M68" s="128"/>
      <c r="N68" s="128"/>
      <c r="O68" s="128"/>
      <c r="P68" s="128"/>
      <c r="Q68" s="128"/>
      <c r="R68" s="128"/>
      <c r="S68" s="128"/>
    </row>
    <row r="69" spans="1:19" s="136" customFormat="1" ht="53.25" customHeight="1">
      <c r="A69" s="6"/>
      <c r="B69" s="132"/>
      <c r="C69" s="133"/>
      <c r="D69" s="134"/>
      <c r="E69" s="323"/>
      <c r="F69" s="324"/>
      <c r="G69" s="323"/>
      <c r="H69" s="323"/>
      <c r="I69" s="323"/>
      <c r="J69" s="323"/>
    </row>
    <row r="70" spans="1:19" s="100" customFormat="1" ht="34.5" customHeight="1">
      <c r="A70" s="421" t="s">
        <v>479</v>
      </c>
      <c r="B70" s="137"/>
      <c r="C70" s="507" t="s">
        <v>84</v>
      </c>
      <c r="D70" s="508"/>
      <c r="E70" s="508"/>
      <c r="F70" s="508"/>
      <c r="G70" s="138"/>
      <c r="H70" s="509" t="s">
        <v>546</v>
      </c>
      <c r="I70" s="509"/>
      <c r="J70" s="509"/>
    </row>
    <row r="71" spans="1:19" s="101" customFormat="1" ht="36" customHeight="1">
      <c r="A71" s="406" t="s">
        <v>360</v>
      </c>
      <c r="B71" s="139"/>
      <c r="C71" s="518" t="s">
        <v>69</v>
      </c>
      <c r="D71" s="518"/>
      <c r="E71" s="518"/>
      <c r="F71" s="518"/>
      <c r="G71" s="140"/>
      <c r="H71" s="512" t="s">
        <v>82</v>
      </c>
      <c r="I71" s="512"/>
      <c r="J71" s="512"/>
    </row>
    <row r="72" spans="1:19">
      <c r="C72" s="399"/>
    </row>
    <row r="73" spans="1:19">
      <c r="C73" s="399"/>
    </row>
    <row r="74" spans="1:19">
      <c r="C74" s="141"/>
      <c r="D74" s="141"/>
      <c r="E74" s="141"/>
      <c r="F74" s="142"/>
      <c r="G74" s="142"/>
      <c r="H74" s="142"/>
      <c r="I74" s="142"/>
      <c r="J74" s="142"/>
    </row>
    <row r="75" spans="1:19">
      <c r="C75" s="141"/>
      <c r="D75" s="141"/>
      <c r="E75" s="141"/>
      <c r="F75" s="143"/>
      <c r="G75" s="142"/>
      <c r="H75" s="142"/>
      <c r="I75" s="142"/>
      <c r="J75" s="142"/>
    </row>
    <row r="76" spans="1:19">
      <c r="C76" s="144"/>
      <c r="D76" s="144"/>
      <c r="E76" s="144"/>
      <c r="F76" s="145"/>
      <c r="G76" s="144"/>
      <c r="H76" s="144"/>
      <c r="I76" s="144"/>
      <c r="J76" s="144"/>
    </row>
    <row r="77" spans="1:19">
      <c r="C77" s="399"/>
    </row>
    <row r="78" spans="1:19">
      <c r="C78" s="146"/>
      <c r="D78" s="146"/>
      <c r="E78" s="146"/>
      <c r="F78" s="146"/>
      <c r="G78" s="146"/>
      <c r="H78" s="146"/>
      <c r="I78" s="146"/>
      <c r="J78" s="146"/>
    </row>
    <row r="79" spans="1:19">
      <c r="C79" s="144"/>
      <c r="D79" s="144"/>
      <c r="E79" s="144"/>
      <c r="F79" s="144"/>
      <c r="G79" s="144"/>
      <c r="H79" s="144"/>
      <c r="I79" s="144"/>
      <c r="J79" s="144"/>
    </row>
    <row r="81" spans="3:10">
      <c r="C81" s="399"/>
    </row>
    <row r="82" spans="3:10">
      <c r="C82" s="144"/>
      <c r="D82" s="144"/>
      <c r="E82" s="144"/>
      <c r="F82" s="144"/>
      <c r="G82" s="144"/>
      <c r="H82" s="144"/>
      <c r="I82" s="144"/>
      <c r="J82" s="144"/>
    </row>
    <row r="83" spans="3:10">
      <c r="C83" s="399"/>
    </row>
    <row r="84" spans="3:10">
      <c r="C84" s="399"/>
    </row>
    <row r="85" spans="3:10">
      <c r="C85" s="399"/>
    </row>
    <row r="86" spans="3:10">
      <c r="C86" s="399"/>
    </row>
    <row r="87" spans="3:10">
      <c r="C87" s="399"/>
    </row>
    <row r="88" spans="3:10">
      <c r="C88" s="399"/>
    </row>
    <row r="89" spans="3:10">
      <c r="C89" s="399"/>
    </row>
    <row r="90" spans="3:10">
      <c r="C90" s="399"/>
    </row>
    <row r="91" spans="3:10">
      <c r="C91" s="399"/>
    </row>
    <row r="92" spans="3:10">
      <c r="C92" s="399"/>
    </row>
    <row r="93" spans="3:10">
      <c r="C93" s="399"/>
    </row>
    <row r="94" spans="3:10">
      <c r="C94" s="399"/>
    </row>
    <row r="95" spans="3:10">
      <c r="C95" s="399"/>
    </row>
    <row r="96" spans="3:10">
      <c r="C96" s="399"/>
    </row>
    <row r="97" spans="3:3">
      <c r="C97" s="399"/>
    </row>
    <row r="98" spans="3:3">
      <c r="C98" s="399"/>
    </row>
    <row r="99" spans="3:3">
      <c r="C99" s="399"/>
    </row>
    <row r="100" spans="3:3">
      <c r="C100" s="399"/>
    </row>
    <row r="101" spans="3:3">
      <c r="C101" s="399"/>
    </row>
    <row r="102" spans="3:3">
      <c r="C102" s="399"/>
    </row>
  </sheetData>
  <sheetProtection algorithmName="SHA-512" hashValue="zYsnbKYg1wv+YaBMrkXoFUdflGxzZVYcJtYHZysiIfhQfb/6T+NgtWXe2f3URJTIcgu2TAKzfN7Dz80i3WjvRA==" saltValue="IV7mmdJ90szHvAvP5CXhOw==" spinCount="100000" sheet="1" objects="1" scenarios="1" selectLockedCells="1" selectUnlockedCells="1"/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31496062992125984" footer="0.51181102362204722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4"/>
  <sheetViews>
    <sheetView view="pageBreakPreview" zoomScale="70" zoomScaleNormal="100" zoomScaleSheetLayoutView="70" workbookViewId="0">
      <selection activeCell="A3" sqref="A1:XFD1048576"/>
    </sheetView>
  </sheetViews>
  <sheetFormatPr defaultColWidth="9.109375" defaultRowHeight="18"/>
  <cols>
    <col min="1" max="1" width="87.88671875" style="1" customWidth="1"/>
    <col min="2" max="2" width="16.33203125" style="403" customWidth="1"/>
    <col min="3" max="3" width="18" style="403" customWidth="1"/>
    <col min="4" max="4" width="19.88671875" style="403" customWidth="1"/>
    <col min="5" max="5" width="20" style="403" customWidth="1"/>
    <col min="6" max="6" width="18" style="403" customWidth="1"/>
    <col min="7" max="10" width="15.44140625" style="1" customWidth="1"/>
    <col min="11" max="16384" width="9.109375" style="1"/>
  </cols>
  <sheetData>
    <row r="1" spans="1:10" ht="22.8">
      <c r="A1" s="494" t="s">
        <v>399</v>
      </c>
      <c r="B1" s="494"/>
      <c r="C1" s="494"/>
      <c r="D1" s="494"/>
      <c r="E1" s="494"/>
      <c r="F1" s="494"/>
      <c r="G1" s="494"/>
      <c r="H1" s="494"/>
    </row>
    <row r="2" spans="1:10">
      <c r="A2" s="411"/>
      <c r="B2" s="7"/>
      <c r="C2" s="411"/>
      <c r="D2" s="411"/>
      <c r="E2" s="411"/>
      <c r="F2" s="7"/>
      <c r="G2" s="411"/>
      <c r="H2" s="411"/>
      <c r="J2" s="1" t="s">
        <v>395</v>
      </c>
    </row>
    <row r="3" spans="1:10" ht="41.25" customHeight="1">
      <c r="A3" s="531" t="s">
        <v>163</v>
      </c>
      <c r="B3" s="483" t="s">
        <v>17</v>
      </c>
      <c r="C3" s="483" t="s">
        <v>650</v>
      </c>
      <c r="D3" s="483" t="s">
        <v>651</v>
      </c>
      <c r="E3" s="481" t="s">
        <v>652</v>
      </c>
      <c r="F3" s="488" t="s">
        <v>653</v>
      </c>
      <c r="G3" s="488" t="s">
        <v>324</v>
      </c>
      <c r="H3" s="488"/>
      <c r="I3" s="488"/>
      <c r="J3" s="488"/>
    </row>
    <row r="4" spans="1:10" ht="63" customHeight="1">
      <c r="A4" s="532"/>
      <c r="B4" s="484"/>
      <c r="C4" s="484"/>
      <c r="D4" s="484"/>
      <c r="E4" s="482"/>
      <c r="F4" s="488"/>
      <c r="G4" s="408" t="s">
        <v>125</v>
      </c>
      <c r="H4" s="408" t="s">
        <v>126</v>
      </c>
      <c r="I4" s="408" t="s">
        <v>127</v>
      </c>
      <c r="J4" s="408" t="s">
        <v>63</v>
      </c>
    </row>
    <row r="5" spans="1:10" ht="23.25" customHeight="1">
      <c r="A5" s="398">
        <v>1</v>
      </c>
      <c r="B5" s="397">
        <v>2</v>
      </c>
      <c r="C5" s="397">
        <v>3</v>
      </c>
      <c r="D5" s="397">
        <v>4</v>
      </c>
      <c r="E5" s="397">
        <v>5</v>
      </c>
      <c r="F5" s="397">
        <v>6</v>
      </c>
      <c r="G5" s="397">
        <v>7</v>
      </c>
      <c r="H5" s="397">
        <v>8</v>
      </c>
      <c r="I5" s="398">
        <v>9</v>
      </c>
      <c r="J5" s="398">
        <v>10</v>
      </c>
    </row>
    <row r="6" spans="1:10" ht="36" customHeight="1">
      <c r="A6" s="147" t="s">
        <v>109</v>
      </c>
      <c r="B6" s="413"/>
      <c r="C6" s="148"/>
      <c r="D6" s="148"/>
      <c r="E6" s="148"/>
      <c r="F6" s="148"/>
      <c r="G6" s="148"/>
      <c r="H6" s="148"/>
      <c r="I6" s="149"/>
      <c r="J6" s="149"/>
    </row>
    <row r="7" spans="1:10" ht="31.5" customHeight="1">
      <c r="A7" s="150" t="s">
        <v>402</v>
      </c>
      <c r="B7" s="151"/>
      <c r="C7" s="152"/>
      <c r="D7" s="152"/>
      <c r="E7" s="152"/>
      <c r="F7" s="152"/>
      <c r="G7" s="152"/>
      <c r="H7" s="152"/>
      <c r="I7" s="153"/>
      <c r="J7" s="153"/>
    </row>
    <row r="8" spans="1:10" ht="39.75" hidden="1" customHeight="1">
      <c r="A8" s="154" t="s">
        <v>408</v>
      </c>
      <c r="B8" s="413">
        <v>3030</v>
      </c>
      <c r="C8" s="148"/>
      <c r="D8" s="148"/>
      <c r="E8" s="148">
        <f>D8</f>
        <v>0</v>
      </c>
      <c r="F8" s="148">
        <f t="shared" ref="F8:F13" si="0">SUM(G8:J8)</f>
        <v>0</v>
      </c>
      <c r="G8" s="148"/>
      <c r="H8" s="148"/>
      <c r="I8" s="149"/>
      <c r="J8" s="149"/>
    </row>
    <row r="9" spans="1:10" ht="49.5" hidden="1" customHeight="1">
      <c r="A9" s="154"/>
      <c r="B9" s="413"/>
      <c r="C9" s="148"/>
      <c r="D9" s="148"/>
      <c r="E9" s="148">
        <f t="shared" ref="E9:E54" si="1">D9</f>
        <v>0</v>
      </c>
      <c r="F9" s="148">
        <f t="shared" si="0"/>
        <v>0</v>
      </c>
      <c r="G9" s="148"/>
      <c r="H9" s="148"/>
      <c r="I9" s="149"/>
      <c r="J9" s="149"/>
    </row>
    <row r="10" spans="1:10" ht="30" customHeight="1">
      <c r="A10" s="155" t="s">
        <v>409</v>
      </c>
      <c r="B10" s="413">
        <v>3080</v>
      </c>
      <c r="C10" s="156">
        <f>SUM(C11:C15)</f>
        <v>774</v>
      </c>
      <c r="D10" s="156">
        <f t="shared" ref="D10:J10" si="2">SUM(D11:D15)</f>
        <v>0</v>
      </c>
      <c r="E10" s="156">
        <f t="shared" si="2"/>
        <v>0</v>
      </c>
      <c r="F10" s="148">
        <f t="shared" si="0"/>
        <v>0</v>
      </c>
      <c r="G10" s="156">
        <f t="shared" si="2"/>
        <v>0</v>
      </c>
      <c r="H10" s="156">
        <f t="shared" si="2"/>
        <v>0</v>
      </c>
      <c r="I10" s="156">
        <f t="shared" si="2"/>
        <v>0</v>
      </c>
      <c r="J10" s="156">
        <f t="shared" si="2"/>
        <v>0</v>
      </c>
    </row>
    <row r="11" spans="1:10" ht="25.5" hidden="1" customHeight="1">
      <c r="A11" s="154" t="s">
        <v>538</v>
      </c>
      <c r="B11" s="413"/>
      <c r="C11" s="148"/>
      <c r="D11" s="156"/>
      <c r="E11" s="156"/>
      <c r="F11" s="148">
        <f t="shared" si="0"/>
        <v>0</v>
      </c>
      <c r="G11" s="156"/>
      <c r="H11" s="156"/>
      <c r="I11" s="156"/>
      <c r="J11" s="156"/>
    </row>
    <row r="12" spans="1:10" ht="23.25" hidden="1" customHeight="1">
      <c r="A12" s="154" t="s">
        <v>539</v>
      </c>
      <c r="B12" s="413"/>
      <c r="C12" s="148"/>
      <c r="D12" s="156"/>
      <c r="E12" s="156"/>
      <c r="F12" s="148">
        <f t="shared" si="0"/>
        <v>0</v>
      </c>
      <c r="G12" s="156"/>
      <c r="H12" s="156"/>
      <c r="I12" s="156"/>
      <c r="J12" s="156"/>
    </row>
    <row r="13" spans="1:10" ht="23.25" hidden="1" customHeight="1">
      <c r="A13" s="154" t="s">
        <v>544</v>
      </c>
      <c r="B13" s="413"/>
      <c r="C13" s="148"/>
      <c r="D13" s="156"/>
      <c r="E13" s="156"/>
      <c r="F13" s="148">
        <f t="shared" si="0"/>
        <v>0</v>
      </c>
      <c r="G13" s="156"/>
      <c r="H13" s="156"/>
      <c r="I13" s="156"/>
      <c r="J13" s="156"/>
    </row>
    <row r="14" spans="1:10" ht="26.25" customHeight="1">
      <c r="A14" s="157" t="s">
        <v>710</v>
      </c>
      <c r="B14" s="413"/>
      <c r="C14" s="148">
        <v>774</v>
      </c>
      <c r="D14" s="148"/>
      <c r="E14" s="148"/>
      <c r="F14" s="148">
        <f>SUM(G14:J14)</f>
        <v>0</v>
      </c>
      <c r="G14" s="148"/>
      <c r="H14" s="148"/>
      <c r="I14" s="149"/>
      <c r="J14" s="149"/>
    </row>
    <row r="15" spans="1:10" ht="23.25" hidden="1" customHeight="1">
      <c r="A15" s="158" t="s">
        <v>635</v>
      </c>
      <c r="B15" s="413"/>
      <c r="C15" s="149"/>
      <c r="D15" s="148"/>
      <c r="E15" s="148"/>
      <c r="F15" s="148">
        <f t="shared" ref="F15:F52" si="3">SUM(G15:J15)</f>
        <v>0</v>
      </c>
      <c r="G15" s="148"/>
      <c r="H15" s="148"/>
      <c r="I15" s="149"/>
      <c r="J15" s="149"/>
    </row>
    <row r="16" spans="1:10" ht="28.5" customHeight="1">
      <c r="A16" s="159" t="s">
        <v>251</v>
      </c>
      <c r="B16" s="413"/>
      <c r="C16" s="149"/>
      <c r="D16" s="148"/>
      <c r="E16" s="148"/>
      <c r="F16" s="148">
        <f t="shared" si="3"/>
        <v>0</v>
      </c>
      <c r="G16" s="148"/>
      <c r="H16" s="148"/>
      <c r="I16" s="149"/>
      <c r="J16" s="149"/>
    </row>
    <row r="17" spans="1:10" s="160" customFormat="1" ht="30" customHeight="1">
      <c r="A17" s="155" t="s">
        <v>243</v>
      </c>
      <c r="B17" s="413">
        <v>3160</v>
      </c>
      <c r="C17" s="156">
        <f>SUM(C18:C23)</f>
        <v>-577</v>
      </c>
      <c r="D17" s="156">
        <f t="shared" ref="D17:J17" si="4">SUM(D18:D23)</f>
        <v>-36</v>
      </c>
      <c r="E17" s="156">
        <f t="shared" si="4"/>
        <v>-36</v>
      </c>
      <c r="F17" s="148">
        <f t="shared" si="3"/>
        <v>0</v>
      </c>
      <c r="G17" s="156">
        <f t="shared" si="4"/>
        <v>0</v>
      </c>
      <c r="H17" s="156">
        <f t="shared" si="4"/>
        <v>0</v>
      </c>
      <c r="I17" s="156">
        <f t="shared" si="4"/>
        <v>0</v>
      </c>
      <c r="J17" s="156">
        <f t="shared" si="4"/>
        <v>0</v>
      </c>
    </row>
    <row r="18" spans="1:10" s="160" customFormat="1" ht="21.75" customHeight="1">
      <c r="A18" s="154" t="s">
        <v>636</v>
      </c>
      <c r="B18" s="397"/>
      <c r="C18" s="148">
        <v>-13</v>
      </c>
      <c r="D18" s="148"/>
      <c r="E18" s="148"/>
      <c r="F18" s="148">
        <f t="shared" si="3"/>
        <v>0</v>
      </c>
      <c r="G18" s="148"/>
      <c r="H18" s="148"/>
      <c r="I18" s="148"/>
      <c r="J18" s="148"/>
    </row>
    <row r="19" spans="1:10" s="160" customFormat="1" ht="24.75" customHeight="1">
      <c r="A19" s="154" t="s">
        <v>552</v>
      </c>
      <c r="B19" s="413"/>
      <c r="C19" s="148">
        <v>-34</v>
      </c>
      <c r="D19" s="148">
        <v>-36</v>
      </c>
      <c r="E19" s="148">
        <f>'Розшифровка до Формування'!E69</f>
        <v>-36</v>
      </c>
      <c r="F19" s="148">
        <f t="shared" si="3"/>
        <v>0</v>
      </c>
      <c r="G19" s="148">
        <f>'Розшифровка до Формування'!G69</f>
        <v>0</v>
      </c>
      <c r="H19" s="148">
        <f>'Розшифровка до Формування'!H69</f>
        <v>0</v>
      </c>
      <c r="I19" s="148">
        <f>'Розшифровка до Формування'!I69</f>
        <v>0</v>
      </c>
      <c r="J19" s="148">
        <f>'Розшифровка до Формування'!J69</f>
        <v>0</v>
      </c>
    </row>
    <row r="20" spans="1:10" ht="24.75" customHeight="1">
      <c r="A20" s="154" t="s">
        <v>505</v>
      </c>
      <c r="B20" s="413"/>
      <c r="C20" s="148">
        <v>-4</v>
      </c>
      <c r="D20" s="156"/>
      <c r="E20" s="156"/>
      <c r="F20" s="148">
        <f t="shared" si="3"/>
        <v>0</v>
      </c>
      <c r="G20" s="156"/>
      <c r="H20" s="156"/>
      <c r="I20" s="156"/>
      <c r="J20" s="156"/>
    </row>
    <row r="21" spans="1:10" ht="24" customHeight="1">
      <c r="A21" s="154" t="s">
        <v>590</v>
      </c>
      <c r="B21" s="413"/>
      <c r="C21" s="148">
        <v>-413</v>
      </c>
      <c r="D21" s="156"/>
      <c r="E21" s="156"/>
      <c r="F21" s="148">
        <f t="shared" si="3"/>
        <v>0</v>
      </c>
      <c r="G21" s="156"/>
      <c r="H21" s="156"/>
      <c r="I21" s="156"/>
      <c r="J21" s="156"/>
    </row>
    <row r="22" spans="1:10" ht="27" customHeight="1">
      <c r="A22" s="154" t="s">
        <v>632</v>
      </c>
      <c r="B22" s="413"/>
      <c r="C22" s="148">
        <v>-49</v>
      </c>
      <c r="D22" s="156"/>
      <c r="E22" s="156"/>
      <c r="F22" s="148">
        <f t="shared" si="3"/>
        <v>0</v>
      </c>
      <c r="G22" s="156"/>
      <c r="H22" s="156"/>
      <c r="I22" s="156"/>
      <c r="J22" s="156"/>
    </row>
    <row r="23" spans="1:10" ht="25.5" customHeight="1">
      <c r="A23" s="154" t="s">
        <v>683</v>
      </c>
      <c r="B23" s="413"/>
      <c r="C23" s="148">
        <v>-64</v>
      </c>
      <c r="D23" s="156"/>
      <c r="E23" s="156"/>
      <c r="F23" s="148">
        <f t="shared" si="3"/>
        <v>0</v>
      </c>
      <c r="G23" s="156"/>
      <c r="H23" s="156"/>
      <c r="I23" s="156"/>
      <c r="J23" s="156"/>
    </row>
    <row r="24" spans="1:10" ht="32.25" customHeight="1">
      <c r="A24" s="147" t="s">
        <v>506</v>
      </c>
      <c r="B24" s="413"/>
      <c r="C24" s="148"/>
      <c r="D24" s="156"/>
      <c r="E24" s="156"/>
      <c r="F24" s="148">
        <f t="shared" si="3"/>
        <v>0</v>
      </c>
      <c r="G24" s="156"/>
      <c r="H24" s="156"/>
      <c r="I24" s="156"/>
      <c r="J24" s="156"/>
    </row>
    <row r="25" spans="1:10" s="160" customFormat="1" ht="36.75" hidden="1" customHeight="1">
      <c r="A25" s="150" t="s">
        <v>258</v>
      </c>
      <c r="B25" s="161"/>
      <c r="C25" s="162"/>
      <c r="D25" s="162"/>
      <c r="E25" s="148">
        <f t="shared" si="1"/>
        <v>0</v>
      </c>
      <c r="F25" s="148">
        <f t="shared" si="3"/>
        <v>0</v>
      </c>
      <c r="G25" s="162"/>
      <c r="H25" s="162"/>
      <c r="I25" s="162"/>
      <c r="J25" s="162"/>
    </row>
    <row r="26" spans="1:10" s="160" customFormat="1" ht="40.5" hidden="1" customHeight="1">
      <c r="A26" s="154" t="s">
        <v>409</v>
      </c>
      <c r="B26" s="163">
        <v>3240</v>
      </c>
      <c r="C26" s="156"/>
      <c r="D26" s="156"/>
      <c r="E26" s="156">
        <f t="shared" si="1"/>
        <v>0</v>
      </c>
      <c r="F26" s="148">
        <f t="shared" si="3"/>
        <v>0</v>
      </c>
      <c r="G26" s="156"/>
      <c r="H26" s="156"/>
      <c r="I26" s="156"/>
      <c r="J26" s="156"/>
    </row>
    <row r="27" spans="1:10" s="160" customFormat="1" ht="30.75" customHeight="1">
      <c r="A27" s="150" t="s">
        <v>261</v>
      </c>
      <c r="B27" s="161"/>
      <c r="C27" s="162"/>
      <c r="D27" s="162"/>
      <c r="E27" s="162"/>
      <c r="F27" s="148">
        <f t="shared" si="3"/>
        <v>0</v>
      </c>
      <c r="G27" s="162"/>
      <c r="H27" s="162"/>
      <c r="I27" s="162"/>
      <c r="J27" s="162"/>
    </row>
    <row r="28" spans="1:10" s="160" customFormat="1" ht="45" customHeight="1">
      <c r="A28" s="125" t="s">
        <v>374</v>
      </c>
      <c r="B28" s="163">
        <v>3270</v>
      </c>
      <c r="C28" s="156">
        <f>SUM(C31,C40,C45)</f>
        <v>-6991</v>
      </c>
      <c r="D28" s="156">
        <f t="shared" ref="D28:J28" si="5">SUM(D31,D40,D45)</f>
        <v>-12379</v>
      </c>
      <c r="E28" s="156">
        <f t="shared" si="5"/>
        <v>-12379</v>
      </c>
      <c r="F28" s="156">
        <f t="shared" si="3"/>
        <v>-192</v>
      </c>
      <c r="G28" s="156">
        <f t="shared" si="5"/>
        <v>-48</v>
      </c>
      <c r="H28" s="156">
        <f t="shared" si="5"/>
        <v>-48</v>
      </c>
      <c r="I28" s="156">
        <f t="shared" si="5"/>
        <v>-48</v>
      </c>
      <c r="J28" s="156">
        <f t="shared" si="5"/>
        <v>-48</v>
      </c>
    </row>
    <row r="29" spans="1:10" s="160" customFormat="1" ht="29.25" hidden="1" customHeight="1">
      <c r="A29" s="125" t="s">
        <v>435</v>
      </c>
      <c r="B29" s="163">
        <v>3271</v>
      </c>
      <c r="C29" s="156">
        <f>C30</f>
        <v>0</v>
      </c>
      <c r="D29" s="152"/>
      <c r="E29" s="148">
        <f t="shared" si="1"/>
        <v>0</v>
      </c>
      <c r="F29" s="156">
        <f t="shared" si="3"/>
        <v>0</v>
      </c>
      <c r="G29" s="152"/>
      <c r="H29" s="152"/>
      <c r="I29" s="153"/>
      <c r="J29" s="153"/>
    </row>
    <row r="30" spans="1:10" s="160" customFormat="1" ht="29.25" hidden="1" customHeight="1">
      <c r="A30" s="130" t="s">
        <v>475</v>
      </c>
      <c r="B30" s="163"/>
      <c r="C30" s="148">
        <v>0</v>
      </c>
      <c r="D30" s="152"/>
      <c r="E30" s="148"/>
      <c r="F30" s="156">
        <f t="shared" si="3"/>
        <v>0</v>
      </c>
      <c r="G30" s="152"/>
      <c r="H30" s="152"/>
      <c r="I30" s="153"/>
      <c r="J30" s="153"/>
    </row>
    <row r="31" spans="1:10" s="160" customFormat="1" ht="40.5" customHeight="1">
      <c r="A31" s="147" t="s">
        <v>704</v>
      </c>
      <c r="B31" s="163">
        <v>3272</v>
      </c>
      <c r="C31" s="156">
        <f>SUM(C32:C39)</f>
        <v>-5950</v>
      </c>
      <c r="D31" s="156">
        <f t="shared" ref="D31:J31" si="6">SUM(D32:D39)</f>
        <v>-8772</v>
      </c>
      <c r="E31" s="156">
        <f t="shared" si="6"/>
        <v>-8772</v>
      </c>
      <c r="F31" s="156">
        <f t="shared" si="3"/>
        <v>0</v>
      </c>
      <c r="G31" s="156">
        <f t="shared" si="6"/>
        <v>0</v>
      </c>
      <c r="H31" s="156">
        <f t="shared" si="6"/>
        <v>0</v>
      </c>
      <c r="I31" s="156">
        <f t="shared" si="6"/>
        <v>0</v>
      </c>
      <c r="J31" s="156">
        <f t="shared" si="6"/>
        <v>0</v>
      </c>
    </row>
    <row r="32" spans="1:10" s="160" customFormat="1" ht="23.25" customHeight="1">
      <c r="A32" s="164" t="s">
        <v>685</v>
      </c>
      <c r="B32" s="163"/>
      <c r="C32" s="149">
        <v>-36</v>
      </c>
      <c r="D32" s="148"/>
      <c r="E32" s="148"/>
      <c r="F32" s="148">
        <f t="shared" si="3"/>
        <v>0</v>
      </c>
      <c r="G32" s="148"/>
      <c r="H32" s="148"/>
      <c r="I32" s="148"/>
      <c r="J32" s="148"/>
    </row>
    <row r="33" spans="1:10" s="160" customFormat="1" ht="24" customHeight="1">
      <c r="A33" s="164" t="s">
        <v>686</v>
      </c>
      <c r="B33" s="163"/>
      <c r="C33" s="434">
        <v>-98</v>
      </c>
      <c r="D33" s="148"/>
      <c r="E33" s="148"/>
      <c r="F33" s="148">
        <f t="shared" si="3"/>
        <v>0</v>
      </c>
      <c r="G33" s="148"/>
      <c r="H33" s="148"/>
      <c r="I33" s="149"/>
      <c r="J33" s="149"/>
    </row>
    <row r="34" spans="1:10" s="160" customFormat="1" ht="26.25" customHeight="1">
      <c r="A34" s="420" t="s">
        <v>687</v>
      </c>
      <c r="B34" s="163"/>
      <c r="C34" s="149">
        <v>-50</v>
      </c>
      <c r="D34" s="148"/>
      <c r="E34" s="148"/>
      <c r="F34" s="148">
        <f t="shared" si="3"/>
        <v>0</v>
      </c>
      <c r="G34" s="148"/>
      <c r="H34" s="148"/>
      <c r="I34" s="149"/>
      <c r="J34" s="149"/>
    </row>
    <row r="35" spans="1:10" s="160" customFormat="1" ht="24.75" customHeight="1">
      <c r="A35" s="420" t="s">
        <v>688</v>
      </c>
      <c r="B35" s="163"/>
      <c r="C35" s="149">
        <v>-26</v>
      </c>
      <c r="D35" s="148"/>
      <c r="E35" s="148"/>
      <c r="F35" s="148">
        <f t="shared" si="3"/>
        <v>0</v>
      </c>
      <c r="G35" s="148"/>
      <c r="H35" s="148"/>
      <c r="I35" s="149"/>
      <c r="J35" s="149"/>
    </row>
    <row r="36" spans="1:10" s="160" customFormat="1" ht="24.75" customHeight="1">
      <c r="A36" s="420" t="s">
        <v>631</v>
      </c>
      <c r="B36" s="163"/>
      <c r="C36" s="148">
        <v>-5740</v>
      </c>
      <c r="D36" s="148"/>
      <c r="E36" s="148"/>
      <c r="F36" s="148">
        <f>SUM(G36:J36)</f>
        <v>0</v>
      </c>
      <c r="G36" s="148"/>
      <c r="H36" s="148"/>
      <c r="I36" s="149"/>
      <c r="J36" s="149"/>
    </row>
    <row r="37" spans="1:10" s="160" customFormat="1" ht="44.25" customHeight="1">
      <c r="A37" s="415" t="s">
        <v>691</v>
      </c>
      <c r="B37" s="163"/>
      <c r="C37" s="148"/>
      <c r="D37" s="148">
        <v>-3841</v>
      </c>
      <c r="E37" s="148">
        <v>-3841</v>
      </c>
      <c r="F37" s="148">
        <f t="shared" si="3"/>
        <v>0</v>
      </c>
      <c r="G37" s="148"/>
      <c r="H37" s="148"/>
      <c r="I37" s="149"/>
      <c r="J37" s="149"/>
    </row>
    <row r="38" spans="1:10" s="160" customFormat="1" ht="24" customHeight="1">
      <c r="A38" s="415" t="s">
        <v>692</v>
      </c>
      <c r="B38" s="163"/>
      <c r="C38" s="149"/>
      <c r="D38" s="148">
        <v>-670</v>
      </c>
      <c r="E38" s="148">
        <v>-670</v>
      </c>
      <c r="F38" s="148">
        <f t="shared" si="3"/>
        <v>0</v>
      </c>
      <c r="G38" s="148"/>
      <c r="H38" s="148"/>
      <c r="I38" s="149"/>
      <c r="J38" s="149"/>
    </row>
    <row r="39" spans="1:10" s="160" customFormat="1" ht="46.5" customHeight="1">
      <c r="A39" s="415" t="s">
        <v>702</v>
      </c>
      <c r="B39" s="163"/>
      <c r="C39" s="116"/>
      <c r="D39" s="148">
        <v>-4261</v>
      </c>
      <c r="E39" s="148">
        <v>-4261</v>
      </c>
      <c r="F39" s="148">
        <f t="shared" si="3"/>
        <v>0</v>
      </c>
      <c r="G39" s="116"/>
      <c r="H39" s="116"/>
      <c r="I39" s="358"/>
      <c r="J39" s="358"/>
    </row>
    <row r="40" spans="1:10" s="160" customFormat="1" ht="44.25" customHeight="1">
      <c r="A40" s="147" t="s">
        <v>507</v>
      </c>
      <c r="B40" s="163">
        <v>3273</v>
      </c>
      <c r="C40" s="156">
        <f>SUM(C41:C42)</f>
        <v>-742</v>
      </c>
      <c r="D40" s="156">
        <f t="shared" ref="D40:J40" si="7">SUM(D41:D42)</f>
        <v>-1467</v>
      </c>
      <c r="E40" s="156">
        <f t="shared" si="7"/>
        <v>-1467</v>
      </c>
      <c r="F40" s="156">
        <f t="shared" si="3"/>
        <v>-192</v>
      </c>
      <c r="G40" s="156">
        <f t="shared" si="7"/>
        <v>-48</v>
      </c>
      <c r="H40" s="156">
        <f t="shared" si="7"/>
        <v>-48</v>
      </c>
      <c r="I40" s="156">
        <f t="shared" si="7"/>
        <v>-48</v>
      </c>
      <c r="J40" s="156">
        <f t="shared" si="7"/>
        <v>-48</v>
      </c>
    </row>
    <row r="41" spans="1:10" s="160" customFormat="1" ht="23.25" customHeight="1">
      <c r="A41" s="165" t="s">
        <v>461</v>
      </c>
      <c r="B41" s="418"/>
      <c r="C41" s="148">
        <v>-149</v>
      </c>
      <c r="D41" s="148">
        <v>-192</v>
      </c>
      <c r="E41" s="148">
        <v>-192</v>
      </c>
      <c r="F41" s="148">
        <f t="shared" si="3"/>
        <v>-192</v>
      </c>
      <c r="G41" s="148">
        <v>-48</v>
      </c>
      <c r="H41" s="148">
        <v>-48</v>
      </c>
      <c r="I41" s="148">
        <v>-48</v>
      </c>
      <c r="J41" s="148">
        <v>-48</v>
      </c>
    </row>
    <row r="42" spans="1:10" s="160" customFormat="1" ht="23.25" customHeight="1">
      <c r="A42" s="420" t="s">
        <v>705</v>
      </c>
      <c r="B42" s="163"/>
      <c r="C42" s="148">
        <v>-593</v>
      </c>
      <c r="D42" s="148">
        <v>-1275</v>
      </c>
      <c r="E42" s="148">
        <f>D42</f>
        <v>-1275</v>
      </c>
      <c r="F42" s="148">
        <f t="shared" si="3"/>
        <v>0</v>
      </c>
      <c r="G42" s="162"/>
      <c r="H42" s="162"/>
      <c r="I42" s="359"/>
      <c r="J42" s="149"/>
    </row>
    <row r="43" spans="1:10" s="160" customFormat="1" ht="36.75" hidden="1" customHeight="1">
      <c r="A43" s="147" t="s">
        <v>410</v>
      </c>
      <c r="B43" s="163">
        <v>3274</v>
      </c>
      <c r="C43" s="156">
        <f>C44</f>
        <v>0</v>
      </c>
      <c r="D43" s="162">
        <f t="shared" ref="D43:J43" si="8">D44</f>
        <v>0</v>
      </c>
      <c r="E43" s="148">
        <f>D43</f>
        <v>0</v>
      </c>
      <c r="F43" s="148">
        <f t="shared" si="3"/>
        <v>0</v>
      </c>
      <c r="G43" s="162">
        <f t="shared" si="8"/>
        <v>0</v>
      </c>
      <c r="H43" s="162">
        <f t="shared" si="8"/>
        <v>0</v>
      </c>
      <c r="I43" s="162">
        <f t="shared" si="8"/>
        <v>0</v>
      </c>
      <c r="J43" s="162">
        <f t="shared" si="8"/>
        <v>0</v>
      </c>
    </row>
    <row r="44" spans="1:10" s="160" customFormat="1" ht="20.25" hidden="1" customHeight="1">
      <c r="A44" s="420" t="s">
        <v>508</v>
      </c>
      <c r="B44" s="163"/>
      <c r="C44" s="148">
        <v>0</v>
      </c>
      <c r="D44" s="162"/>
      <c r="E44" s="148">
        <f>D44</f>
        <v>0</v>
      </c>
      <c r="F44" s="148">
        <f t="shared" si="3"/>
        <v>0</v>
      </c>
      <c r="G44" s="162"/>
      <c r="H44" s="162"/>
      <c r="I44" s="359"/>
      <c r="J44" s="359"/>
    </row>
    <row r="45" spans="1:10" s="160" customFormat="1" ht="44.25" customHeight="1">
      <c r="A45" s="147" t="s">
        <v>411</v>
      </c>
      <c r="B45" s="163">
        <v>3275</v>
      </c>
      <c r="C45" s="156">
        <f>SUM(C46:C52)</f>
        <v>-299</v>
      </c>
      <c r="D45" s="156">
        <f t="shared" ref="D45:J45" si="9">SUM(D46:D52)</f>
        <v>-2140</v>
      </c>
      <c r="E45" s="156">
        <f t="shared" si="9"/>
        <v>-2140</v>
      </c>
      <c r="F45" s="156">
        <f t="shared" si="3"/>
        <v>0</v>
      </c>
      <c r="G45" s="156">
        <f t="shared" si="9"/>
        <v>0</v>
      </c>
      <c r="H45" s="156">
        <f t="shared" si="9"/>
        <v>0</v>
      </c>
      <c r="I45" s="156">
        <f t="shared" si="9"/>
        <v>0</v>
      </c>
      <c r="J45" s="156">
        <f t="shared" si="9"/>
        <v>0</v>
      </c>
    </row>
    <row r="46" spans="1:10" s="160" customFormat="1" ht="26.25" customHeight="1">
      <c r="A46" s="420" t="s">
        <v>637</v>
      </c>
      <c r="B46" s="163"/>
      <c r="C46" s="148">
        <v>-7</v>
      </c>
      <c r="D46" s="156"/>
      <c r="E46" s="148"/>
      <c r="F46" s="148">
        <f t="shared" si="3"/>
        <v>0</v>
      </c>
      <c r="G46" s="156"/>
      <c r="H46" s="156"/>
      <c r="I46" s="156"/>
      <c r="J46" s="156"/>
    </row>
    <row r="47" spans="1:10" s="160" customFormat="1" ht="25.5" customHeight="1">
      <c r="A47" s="420" t="s">
        <v>579</v>
      </c>
      <c r="B47" s="163"/>
      <c r="C47" s="148">
        <v>-17</v>
      </c>
      <c r="D47" s="148"/>
      <c r="E47" s="148"/>
      <c r="F47" s="148">
        <f t="shared" si="3"/>
        <v>0</v>
      </c>
      <c r="G47" s="148"/>
      <c r="H47" s="148"/>
      <c r="I47" s="149"/>
      <c r="J47" s="149"/>
    </row>
    <row r="48" spans="1:10" s="160" customFormat="1" ht="25.5" customHeight="1">
      <c r="A48" s="420" t="s">
        <v>578</v>
      </c>
      <c r="B48" s="163"/>
      <c r="C48" s="148">
        <v>-72</v>
      </c>
      <c r="D48" s="148"/>
      <c r="E48" s="148"/>
      <c r="F48" s="148">
        <f>SUM(G48:J48)</f>
        <v>0</v>
      </c>
      <c r="G48" s="148"/>
      <c r="H48" s="148"/>
      <c r="I48" s="149"/>
      <c r="J48" s="149"/>
    </row>
    <row r="49" spans="1:10" s="160" customFormat="1" ht="27" customHeight="1">
      <c r="A49" s="420" t="s">
        <v>689</v>
      </c>
      <c r="B49" s="163"/>
      <c r="C49" s="148">
        <v>-159</v>
      </c>
      <c r="D49" s="156"/>
      <c r="E49" s="148"/>
      <c r="F49" s="148">
        <f t="shared" si="3"/>
        <v>0</v>
      </c>
      <c r="G49" s="156"/>
      <c r="H49" s="156"/>
      <c r="I49" s="156"/>
      <c r="J49" s="156"/>
    </row>
    <row r="50" spans="1:10" s="160" customFormat="1" ht="25.5" customHeight="1">
      <c r="A50" s="420" t="s">
        <v>690</v>
      </c>
      <c r="B50" s="163"/>
      <c r="C50" s="148">
        <v>-11</v>
      </c>
      <c r="D50" s="156"/>
      <c r="E50" s="148"/>
      <c r="F50" s="148">
        <f t="shared" si="3"/>
        <v>0</v>
      </c>
      <c r="G50" s="156"/>
      <c r="H50" s="156"/>
      <c r="I50" s="156"/>
      <c r="J50" s="156"/>
    </row>
    <row r="51" spans="1:10" s="160" customFormat="1" ht="25.5" customHeight="1">
      <c r="A51" s="420" t="s">
        <v>686</v>
      </c>
      <c r="B51" s="163"/>
      <c r="C51" s="148">
        <v>-33</v>
      </c>
      <c r="D51" s="148"/>
      <c r="E51" s="148"/>
      <c r="F51" s="148">
        <f t="shared" si="3"/>
        <v>0</v>
      </c>
      <c r="G51" s="148"/>
      <c r="H51" s="148"/>
      <c r="I51" s="149"/>
      <c r="J51" s="149"/>
    </row>
    <row r="52" spans="1:10" s="160" customFormat="1" ht="24.75" customHeight="1">
      <c r="A52" s="420" t="s">
        <v>703</v>
      </c>
      <c r="B52" s="163"/>
      <c r="C52" s="148"/>
      <c r="D52" s="148">
        <v>-2140</v>
      </c>
      <c r="E52" s="148">
        <v>-2140</v>
      </c>
      <c r="F52" s="148">
        <f t="shared" si="3"/>
        <v>0</v>
      </c>
      <c r="G52" s="148"/>
      <c r="H52" s="148"/>
      <c r="I52" s="149"/>
      <c r="J52" s="149"/>
    </row>
    <row r="53" spans="1:10" s="160" customFormat="1" ht="29.25" hidden="1" customHeight="1">
      <c r="A53" s="166" t="s">
        <v>412</v>
      </c>
      <c r="B53" s="291"/>
      <c r="C53" s="291"/>
      <c r="D53" s="291"/>
      <c r="E53" s="291"/>
      <c r="F53" s="291"/>
      <c r="G53" s="291"/>
      <c r="H53" s="291"/>
      <c r="I53" s="291"/>
      <c r="J53" s="291"/>
    </row>
    <row r="54" spans="1:10" s="160" customFormat="1" ht="30" hidden="1" customHeight="1">
      <c r="A54" s="166" t="s">
        <v>413</v>
      </c>
      <c r="B54" s="167">
        <v>3276</v>
      </c>
      <c r="C54" s="168"/>
      <c r="D54" s="168"/>
      <c r="E54" s="169">
        <f t="shared" si="1"/>
        <v>0</v>
      </c>
      <c r="F54" s="169">
        <f t="shared" ref="F54:F55" si="10">SUM(G54:J54)</f>
        <v>0</v>
      </c>
      <c r="G54" s="168"/>
      <c r="H54" s="168"/>
      <c r="I54" s="170"/>
      <c r="J54" s="170"/>
    </row>
    <row r="55" spans="1:10" s="160" customFormat="1" ht="30" hidden="1" customHeight="1">
      <c r="A55" s="171" t="s">
        <v>112</v>
      </c>
      <c r="B55" s="167">
        <v>3280</v>
      </c>
      <c r="C55" s="169"/>
      <c r="D55" s="169"/>
      <c r="E55" s="169">
        <f t="shared" ref="E55:E60" si="11">D55</f>
        <v>0</v>
      </c>
      <c r="F55" s="169">
        <f t="shared" si="10"/>
        <v>0</v>
      </c>
      <c r="G55" s="169"/>
      <c r="H55" s="169"/>
      <c r="I55" s="172"/>
      <c r="J55" s="172"/>
    </row>
    <row r="56" spans="1:10" s="160" customFormat="1" ht="30" hidden="1" customHeight="1">
      <c r="A56" s="173" t="s">
        <v>262</v>
      </c>
      <c r="B56" s="167">
        <v>3300</v>
      </c>
      <c r="C56" s="174"/>
      <c r="D56" s="174"/>
      <c r="E56" s="169">
        <f t="shared" si="11"/>
        <v>0</v>
      </c>
      <c r="F56" s="169">
        <f t="shared" ref="F56:F60" si="12">SUM(G56:J56)</f>
        <v>0</v>
      </c>
      <c r="G56" s="174"/>
      <c r="H56" s="174"/>
      <c r="I56" s="174"/>
      <c r="J56" s="174"/>
    </row>
    <row r="57" spans="1:10" s="160" customFormat="1" ht="29.25" hidden="1" customHeight="1">
      <c r="A57" s="166" t="s">
        <v>409</v>
      </c>
      <c r="B57" s="167"/>
      <c r="C57" s="169"/>
      <c r="D57" s="169"/>
      <c r="E57" s="169">
        <f t="shared" si="11"/>
        <v>0</v>
      </c>
      <c r="F57" s="169">
        <f t="shared" si="12"/>
        <v>0</v>
      </c>
      <c r="G57" s="169"/>
      <c r="H57" s="169"/>
      <c r="I57" s="172"/>
      <c r="J57" s="172"/>
    </row>
    <row r="58" spans="1:10" s="160" customFormat="1" ht="27.75" hidden="1" customHeight="1">
      <c r="A58" s="173" t="s">
        <v>264</v>
      </c>
      <c r="B58" s="167">
        <v>3330</v>
      </c>
      <c r="C58" s="169"/>
      <c r="D58" s="169"/>
      <c r="E58" s="169">
        <f t="shared" si="11"/>
        <v>0</v>
      </c>
      <c r="F58" s="169">
        <f t="shared" si="12"/>
        <v>0</v>
      </c>
      <c r="G58" s="169"/>
      <c r="H58" s="169"/>
      <c r="I58" s="175"/>
      <c r="J58" s="175"/>
    </row>
    <row r="59" spans="1:10" s="160" customFormat="1" ht="24.75" hidden="1" customHeight="1">
      <c r="A59" s="166" t="s">
        <v>243</v>
      </c>
      <c r="B59" s="167"/>
      <c r="C59" s="174"/>
      <c r="D59" s="174"/>
      <c r="E59" s="169">
        <f t="shared" si="11"/>
        <v>0</v>
      </c>
      <c r="F59" s="169">
        <f t="shared" si="12"/>
        <v>0</v>
      </c>
      <c r="G59" s="174"/>
      <c r="H59" s="174"/>
      <c r="I59" s="174"/>
      <c r="J59" s="174"/>
    </row>
    <row r="60" spans="1:10" s="160" customFormat="1" ht="24.75" hidden="1" customHeight="1">
      <c r="A60" s="176"/>
      <c r="B60" s="167">
        <v>3390</v>
      </c>
      <c r="C60" s="169"/>
      <c r="D60" s="169"/>
      <c r="E60" s="169">
        <f t="shared" si="11"/>
        <v>0</v>
      </c>
      <c r="F60" s="169">
        <f t="shared" si="12"/>
        <v>0</v>
      </c>
      <c r="G60" s="169"/>
      <c r="H60" s="169"/>
      <c r="I60" s="169"/>
      <c r="J60" s="169"/>
    </row>
    <row r="61" spans="1:10" s="160" customFormat="1" ht="42" customHeight="1">
      <c r="B61" s="177"/>
      <c r="C61" s="178" t="s">
        <v>584</v>
      </c>
      <c r="D61" s="178"/>
      <c r="E61" s="178"/>
      <c r="F61" s="178"/>
      <c r="G61" s="178"/>
      <c r="H61" s="178"/>
      <c r="I61" s="178"/>
      <c r="J61" s="179"/>
    </row>
    <row r="62" spans="1:10" s="97" customFormat="1" ht="19.5" customHeight="1">
      <c r="A62" s="180" t="s">
        <v>479</v>
      </c>
      <c r="B62" s="181"/>
      <c r="C62" s="533" t="s">
        <v>84</v>
      </c>
      <c r="D62" s="533"/>
      <c r="E62" s="533"/>
      <c r="F62" s="182"/>
      <c r="G62" s="528" t="s">
        <v>546</v>
      </c>
      <c r="H62" s="528"/>
      <c r="I62" s="528"/>
    </row>
    <row r="63" spans="1:10" s="102" customFormat="1" ht="15.6">
      <c r="A63" s="409" t="s">
        <v>360</v>
      </c>
      <c r="B63" s="183"/>
      <c r="C63" s="529" t="s">
        <v>509</v>
      </c>
      <c r="D63" s="529"/>
      <c r="E63" s="184"/>
      <c r="G63" s="530" t="s">
        <v>82</v>
      </c>
      <c r="H63" s="530"/>
      <c r="I63" s="530"/>
    </row>
    <row r="64" spans="1:10">
      <c r="A64" s="9"/>
      <c r="C64" s="3"/>
      <c r="D64" s="8"/>
      <c r="E64" s="8"/>
      <c r="F64" s="8"/>
      <c r="G64" s="8"/>
      <c r="H64" s="8"/>
    </row>
    <row r="65" spans="1:8">
      <c r="A65" s="9"/>
      <c r="C65" s="3"/>
      <c r="D65" s="8"/>
      <c r="E65" s="8"/>
      <c r="F65" s="8"/>
      <c r="G65" s="8"/>
      <c r="H65" s="8"/>
    </row>
    <row r="66" spans="1:8">
      <c r="A66" s="9"/>
      <c r="C66" s="3"/>
      <c r="D66" s="8"/>
      <c r="E66" s="8"/>
      <c r="F66" s="8"/>
      <c r="G66" s="8"/>
      <c r="H66" s="8"/>
    </row>
    <row r="67" spans="1:8">
      <c r="A67" s="9"/>
      <c r="C67" s="3"/>
      <c r="D67" s="8"/>
      <c r="E67" s="8"/>
      <c r="F67" s="8"/>
      <c r="G67" s="8"/>
      <c r="H67" s="8"/>
    </row>
    <row r="68" spans="1:8">
      <c r="A68" s="9"/>
      <c r="C68" s="3"/>
      <c r="D68" s="8"/>
      <c r="E68" s="8"/>
      <c r="F68" s="8"/>
      <c r="G68" s="8"/>
      <c r="H68" s="8"/>
    </row>
    <row r="69" spans="1:8">
      <c r="A69" s="9"/>
      <c r="C69" s="3"/>
      <c r="D69" s="8"/>
      <c r="E69" s="8"/>
      <c r="F69" s="8"/>
      <c r="G69" s="8"/>
      <c r="H69" s="8"/>
    </row>
    <row r="70" spans="1:8">
      <c r="A70" s="9"/>
      <c r="C70" s="3"/>
      <c r="D70" s="8"/>
      <c r="E70" s="8"/>
      <c r="F70" s="8"/>
      <c r="G70" s="8"/>
      <c r="H70" s="8"/>
    </row>
    <row r="71" spans="1:8">
      <c r="A71" s="9"/>
      <c r="C71" s="3"/>
      <c r="D71" s="8"/>
      <c r="E71" s="8"/>
      <c r="F71" s="8"/>
      <c r="G71" s="8"/>
      <c r="H71" s="8"/>
    </row>
    <row r="72" spans="1:8">
      <c r="A72" s="9"/>
      <c r="C72" s="3"/>
      <c r="D72" s="8"/>
      <c r="E72" s="8"/>
      <c r="F72" s="8"/>
      <c r="G72" s="8"/>
      <c r="H72" s="8"/>
    </row>
    <row r="73" spans="1:8">
      <c r="A73" s="9"/>
      <c r="C73" s="3"/>
      <c r="D73" s="8"/>
      <c r="E73" s="8"/>
      <c r="F73" s="8"/>
      <c r="G73" s="8"/>
      <c r="H73" s="8"/>
    </row>
    <row r="74" spans="1:8">
      <c r="A74" s="9"/>
      <c r="C74" s="3"/>
      <c r="D74" s="8"/>
      <c r="E74" s="8"/>
      <c r="F74" s="8"/>
      <c r="G74" s="8"/>
      <c r="H74" s="8"/>
    </row>
    <row r="75" spans="1:8">
      <c r="A75" s="9"/>
      <c r="C75" s="3"/>
      <c r="D75" s="8"/>
      <c r="E75" s="8"/>
      <c r="F75" s="8"/>
      <c r="G75" s="8"/>
      <c r="H75" s="8"/>
    </row>
    <row r="76" spans="1:8">
      <c r="A76" s="9"/>
      <c r="C76" s="3"/>
      <c r="D76" s="8"/>
      <c r="E76" s="8"/>
      <c r="F76" s="8"/>
      <c r="G76" s="8"/>
      <c r="H76" s="8"/>
    </row>
    <row r="77" spans="1:8">
      <c r="A77" s="9"/>
      <c r="C77" s="3"/>
      <c r="D77" s="8"/>
      <c r="E77" s="8"/>
      <c r="F77" s="8"/>
      <c r="G77" s="8"/>
      <c r="H77" s="8"/>
    </row>
    <row r="78" spans="1:8">
      <c r="A78" s="9"/>
      <c r="C78" s="3"/>
      <c r="D78" s="8"/>
      <c r="E78" s="8"/>
      <c r="F78" s="8"/>
      <c r="G78" s="8"/>
      <c r="H78" s="8"/>
    </row>
    <row r="79" spans="1:8">
      <c r="A79" s="9"/>
      <c r="C79" s="3"/>
      <c r="D79" s="8"/>
      <c r="E79" s="8"/>
      <c r="F79" s="8"/>
      <c r="G79" s="8"/>
      <c r="H79" s="8"/>
    </row>
    <row r="80" spans="1:8">
      <c r="A80" s="9"/>
      <c r="C80" s="3"/>
      <c r="D80" s="8"/>
      <c r="E80" s="8"/>
      <c r="F80" s="8"/>
      <c r="G80" s="8"/>
      <c r="H80" s="8"/>
    </row>
    <row r="81" spans="1:8">
      <c r="A81" s="9"/>
      <c r="C81" s="3"/>
      <c r="D81" s="8"/>
      <c r="E81" s="8"/>
      <c r="F81" s="8"/>
      <c r="G81" s="8"/>
      <c r="H81" s="8"/>
    </row>
    <row r="82" spans="1:8">
      <c r="A82" s="9"/>
      <c r="C82" s="3"/>
      <c r="D82" s="8"/>
      <c r="E82" s="8"/>
      <c r="F82" s="8"/>
      <c r="G82" s="8"/>
      <c r="H82" s="8"/>
    </row>
    <row r="83" spans="1:8">
      <c r="A83" s="9"/>
      <c r="C83" s="3"/>
      <c r="D83" s="8"/>
      <c r="E83" s="8"/>
      <c r="F83" s="8"/>
      <c r="G83" s="8"/>
      <c r="H83" s="8"/>
    </row>
    <row r="84" spans="1:8">
      <c r="A84" s="9"/>
      <c r="C84" s="3"/>
      <c r="D84" s="8"/>
      <c r="E84" s="8"/>
      <c r="F84" s="8"/>
      <c r="G84" s="8"/>
      <c r="H84" s="8"/>
    </row>
    <row r="85" spans="1:8">
      <c r="A85" s="9"/>
      <c r="C85" s="3"/>
      <c r="D85" s="8"/>
      <c r="E85" s="8"/>
      <c r="F85" s="8"/>
      <c r="G85" s="8"/>
      <c r="H85" s="8"/>
    </row>
    <row r="86" spans="1:8">
      <c r="A86" s="9"/>
      <c r="C86" s="3"/>
      <c r="D86" s="8"/>
      <c r="E86" s="8"/>
      <c r="F86" s="8"/>
      <c r="G86" s="8"/>
      <c r="H86" s="8"/>
    </row>
    <row r="87" spans="1:8">
      <c r="A87" s="9"/>
      <c r="C87" s="3"/>
      <c r="D87" s="8"/>
      <c r="E87" s="8"/>
      <c r="F87" s="8"/>
      <c r="G87" s="8"/>
      <c r="H87" s="8"/>
    </row>
    <row r="88" spans="1:8">
      <c r="A88" s="9"/>
      <c r="C88" s="3"/>
      <c r="D88" s="8"/>
      <c r="E88" s="8"/>
      <c r="F88" s="8"/>
      <c r="G88" s="8"/>
      <c r="H88" s="8"/>
    </row>
    <row r="89" spans="1:8">
      <c r="A89" s="9"/>
      <c r="C89" s="3"/>
      <c r="D89" s="8"/>
      <c r="E89" s="8"/>
      <c r="F89" s="8"/>
      <c r="G89" s="8"/>
      <c r="H89" s="8"/>
    </row>
    <row r="90" spans="1:8">
      <c r="A90" s="9"/>
      <c r="C90" s="3"/>
      <c r="D90" s="8"/>
      <c r="E90" s="8"/>
      <c r="F90" s="8"/>
      <c r="G90" s="8"/>
      <c r="H90" s="8"/>
    </row>
    <row r="91" spans="1:8">
      <c r="A91" s="9"/>
      <c r="C91" s="3"/>
      <c r="D91" s="8"/>
      <c r="E91" s="8"/>
      <c r="F91" s="8"/>
      <c r="G91" s="8"/>
      <c r="H91" s="8"/>
    </row>
    <row r="92" spans="1:8">
      <c r="A92" s="9"/>
      <c r="C92" s="3"/>
      <c r="D92" s="8"/>
      <c r="E92" s="8"/>
      <c r="F92" s="8"/>
      <c r="G92" s="8"/>
      <c r="H92" s="8"/>
    </row>
    <row r="93" spans="1:8">
      <c r="A93" s="9"/>
      <c r="C93" s="3"/>
      <c r="D93" s="8"/>
      <c r="E93" s="8"/>
      <c r="F93" s="8"/>
      <c r="G93" s="8"/>
      <c r="H93" s="8"/>
    </row>
    <row r="94" spans="1:8">
      <c r="A94" s="9"/>
      <c r="C94" s="3"/>
      <c r="D94" s="8"/>
      <c r="E94" s="8"/>
      <c r="F94" s="8"/>
      <c r="G94" s="8"/>
      <c r="H94" s="8"/>
    </row>
    <row r="95" spans="1:8">
      <c r="A95" s="9"/>
      <c r="C95" s="3"/>
      <c r="D95" s="8"/>
      <c r="E95" s="8"/>
      <c r="F95" s="8"/>
      <c r="G95" s="8"/>
      <c r="H95" s="8"/>
    </row>
    <row r="96" spans="1:8">
      <c r="A96" s="9"/>
      <c r="C96" s="3"/>
      <c r="D96" s="8"/>
      <c r="E96" s="8"/>
      <c r="F96" s="8"/>
      <c r="G96" s="8"/>
      <c r="H96" s="8"/>
    </row>
    <row r="97" spans="1:8">
      <c r="A97" s="9"/>
      <c r="C97" s="3"/>
      <c r="D97" s="8"/>
      <c r="E97" s="8"/>
      <c r="F97" s="8"/>
      <c r="G97" s="8"/>
      <c r="H97" s="8"/>
    </row>
    <row r="98" spans="1:8">
      <c r="A98" s="9"/>
      <c r="C98" s="3"/>
      <c r="D98" s="8"/>
      <c r="E98" s="8"/>
      <c r="F98" s="8"/>
      <c r="G98" s="8"/>
      <c r="H98" s="8"/>
    </row>
    <row r="99" spans="1:8">
      <c r="A99" s="9"/>
      <c r="C99" s="3"/>
      <c r="D99" s="8"/>
      <c r="E99" s="8"/>
      <c r="F99" s="8"/>
      <c r="G99" s="8"/>
      <c r="H99" s="8"/>
    </row>
    <row r="100" spans="1:8">
      <c r="A100" s="9"/>
      <c r="C100" s="3"/>
      <c r="D100" s="8"/>
      <c r="E100" s="8"/>
      <c r="F100" s="8"/>
      <c r="G100" s="8"/>
      <c r="H100" s="8"/>
    </row>
    <row r="101" spans="1:8">
      <c r="A101" s="9"/>
      <c r="C101" s="3"/>
      <c r="D101" s="8"/>
      <c r="E101" s="8"/>
      <c r="F101" s="8"/>
      <c r="G101" s="8"/>
      <c r="H101" s="8"/>
    </row>
    <row r="102" spans="1:8">
      <c r="A102" s="9"/>
      <c r="C102" s="3"/>
      <c r="D102" s="8"/>
      <c r="E102" s="8"/>
      <c r="F102" s="8"/>
      <c r="G102" s="8"/>
      <c r="H102" s="8"/>
    </row>
    <row r="103" spans="1:8">
      <c r="A103" s="9"/>
      <c r="C103" s="3"/>
      <c r="D103" s="8"/>
      <c r="E103" s="8"/>
      <c r="F103" s="8"/>
      <c r="G103" s="8"/>
      <c r="H103" s="8"/>
    </row>
    <row r="104" spans="1:8">
      <c r="A104" s="9"/>
      <c r="C104" s="3"/>
      <c r="D104" s="8"/>
      <c r="E104" s="8"/>
      <c r="F104" s="8"/>
      <c r="G104" s="8"/>
      <c r="H104" s="8"/>
    </row>
    <row r="105" spans="1:8">
      <c r="A105" s="9"/>
      <c r="C105" s="3"/>
      <c r="D105" s="8"/>
      <c r="E105" s="8"/>
      <c r="F105" s="8"/>
      <c r="G105" s="8"/>
      <c r="H105" s="8"/>
    </row>
    <row r="106" spans="1:8">
      <c r="A106" s="9"/>
      <c r="C106" s="3"/>
      <c r="D106" s="8"/>
      <c r="E106" s="8"/>
      <c r="F106" s="8"/>
      <c r="G106" s="8"/>
      <c r="H106" s="8"/>
    </row>
    <row r="107" spans="1:8">
      <c r="A107" s="9"/>
      <c r="C107" s="3"/>
      <c r="D107" s="8"/>
      <c r="E107" s="8"/>
      <c r="F107" s="8"/>
      <c r="G107" s="8"/>
      <c r="H107" s="8"/>
    </row>
    <row r="108" spans="1:8">
      <c r="A108" s="9"/>
      <c r="C108" s="3"/>
      <c r="D108" s="8"/>
      <c r="E108" s="8"/>
      <c r="F108" s="8"/>
      <c r="G108" s="8"/>
      <c r="H108" s="8"/>
    </row>
    <row r="109" spans="1:8">
      <c r="A109" s="9"/>
      <c r="C109" s="3"/>
      <c r="D109" s="8"/>
      <c r="E109" s="8"/>
      <c r="F109" s="8"/>
      <c r="G109" s="8"/>
      <c r="H109" s="8"/>
    </row>
    <row r="110" spans="1:8">
      <c r="A110" s="9"/>
      <c r="C110" s="3"/>
      <c r="D110" s="8"/>
      <c r="E110" s="8"/>
      <c r="F110" s="8"/>
      <c r="G110" s="8"/>
      <c r="H110" s="8"/>
    </row>
    <row r="111" spans="1:8">
      <c r="A111" s="9"/>
      <c r="C111" s="3"/>
      <c r="D111" s="8"/>
      <c r="E111" s="8"/>
      <c r="F111" s="8"/>
      <c r="G111" s="8"/>
      <c r="H111" s="8"/>
    </row>
    <row r="112" spans="1:8">
      <c r="A112" s="9"/>
      <c r="C112" s="3"/>
      <c r="D112" s="8"/>
      <c r="E112" s="8"/>
      <c r="F112" s="8"/>
      <c r="G112" s="8"/>
      <c r="H112" s="8"/>
    </row>
    <row r="113" spans="1:8">
      <c r="A113" s="9"/>
      <c r="C113" s="3"/>
      <c r="D113" s="8"/>
      <c r="E113" s="8"/>
      <c r="F113" s="8"/>
      <c r="G113" s="8"/>
      <c r="H113" s="8"/>
    </row>
    <row r="114" spans="1:8">
      <c r="A114" s="9"/>
      <c r="C114" s="3"/>
      <c r="D114" s="8"/>
      <c r="E114" s="8"/>
      <c r="F114" s="8"/>
      <c r="G114" s="8"/>
      <c r="H114" s="8"/>
    </row>
    <row r="115" spans="1:8">
      <c r="A115" s="9"/>
      <c r="C115" s="3"/>
      <c r="D115" s="8"/>
      <c r="E115" s="8"/>
      <c r="F115" s="8"/>
      <c r="G115" s="8"/>
      <c r="H115" s="8"/>
    </row>
    <row r="116" spans="1:8">
      <c r="A116" s="9"/>
      <c r="C116" s="3"/>
      <c r="D116" s="8"/>
      <c r="E116" s="8"/>
      <c r="F116" s="8"/>
      <c r="G116" s="8"/>
      <c r="H116" s="8"/>
    </row>
    <row r="117" spans="1:8">
      <c r="A117" s="9"/>
      <c r="C117" s="3"/>
      <c r="D117" s="8"/>
      <c r="E117" s="8"/>
      <c r="F117" s="8"/>
      <c r="G117" s="8"/>
      <c r="H117" s="8"/>
    </row>
    <row r="118" spans="1:8">
      <c r="A118" s="10"/>
    </row>
    <row r="119" spans="1:8">
      <c r="A119" s="10"/>
    </row>
    <row r="120" spans="1:8">
      <c r="A120" s="10"/>
    </row>
    <row r="121" spans="1:8">
      <c r="A121" s="10"/>
    </row>
    <row r="122" spans="1:8">
      <c r="A122" s="10"/>
    </row>
    <row r="123" spans="1:8">
      <c r="A123" s="10"/>
    </row>
    <row r="124" spans="1:8">
      <c r="A124" s="10"/>
    </row>
    <row r="125" spans="1:8">
      <c r="A125" s="10"/>
    </row>
    <row r="126" spans="1:8">
      <c r="A126" s="10"/>
    </row>
    <row r="127" spans="1:8">
      <c r="A127" s="10"/>
    </row>
    <row r="128" spans="1:8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  <row r="136" spans="1:1">
      <c r="A136" s="10"/>
    </row>
    <row r="137" spans="1:1">
      <c r="A137" s="10"/>
    </row>
    <row r="138" spans="1:1">
      <c r="A138" s="10"/>
    </row>
    <row r="139" spans="1:1">
      <c r="A139" s="10"/>
    </row>
    <row r="140" spans="1:1">
      <c r="A140" s="10"/>
    </row>
    <row r="141" spans="1:1">
      <c r="A141" s="10"/>
    </row>
    <row r="142" spans="1:1">
      <c r="A142" s="10"/>
    </row>
    <row r="143" spans="1:1">
      <c r="A143" s="10"/>
    </row>
    <row r="144" spans="1:1">
      <c r="A144" s="10"/>
    </row>
    <row r="145" spans="1:1">
      <c r="A145" s="10"/>
    </row>
    <row r="146" spans="1:1">
      <c r="A146" s="10"/>
    </row>
    <row r="147" spans="1:1">
      <c r="A147" s="10"/>
    </row>
    <row r="148" spans="1:1">
      <c r="A148" s="10"/>
    </row>
    <row r="149" spans="1:1">
      <c r="A149" s="10"/>
    </row>
    <row r="150" spans="1:1">
      <c r="A150" s="10"/>
    </row>
    <row r="151" spans="1:1">
      <c r="A151" s="10"/>
    </row>
    <row r="152" spans="1:1">
      <c r="A152" s="10"/>
    </row>
    <row r="153" spans="1:1">
      <c r="A153" s="10"/>
    </row>
    <row r="154" spans="1:1">
      <c r="A154" s="10"/>
    </row>
    <row r="155" spans="1:1">
      <c r="A155" s="10"/>
    </row>
    <row r="156" spans="1:1">
      <c r="A156" s="10"/>
    </row>
    <row r="157" spans="1:1">
      <c r="A157" s="10"/>
    </row>
    <row r="158" spans="1:1">
      <c r="A158" s="10"/>
    </row>
    <row r="159" spans="1:1">
      <c r="A159" s="10"/>
    </row>
    <row r="160" spans="1:1">
      <c r="A160" s="10"/>
    </row>
    <row r="161" spans="1:1">
      <c r="A161" s="10"/>
    </row>
    <row r="162" spans="1:1">
      <c r="A162" s="10"/>
    </row>
    <row r="163" spans="1:1">
      <c r="A163" s="10"/>
    </row>
    <row r="164" spans="1:1">
      <c r="A164" s="10"/>
    </row>
    <row r="165" spans="1:1">
      <c r="A165" s="10"/>
    </row>
    <row r="166" spans="1:1">
      <c r="A166" s="10"/>
    </row>
    <row r="167" spans="1:1">
      <c r="A167" s="10"/>
    </row>
    <row r="168" spans="1:1">
      <c r="A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  <row r="256" spans="1:1">
      <c r="A256" s="10"/>
    </row>
    <row r="257" spans="1:1">
      <c r="A257" s="10"/>
    </row>
    <row r="258" spans="1:1">
      <c r="A258" s="10"/>
    </row>
    <row r="259" spans="1:1">
      <c r="A259" s="10"/>
    </row>
    <row r="260" spans="1:1">
      <c r="A260" s="10"/>
    </row>
    <row r="261" spans="1:1">
      <c r="A261" s="10"/>
    </row>
    <row r="262" spans="1:1">
      <c r="A262" s="10"/>
    </row>
    <row r="263" spans="1:1">
      <c r="A263" s="10"/>
    </row>
    <row r="264" spans="1:1">
      <c r="A264" s="10"/>
    </row>
    <row r="265" spans="1:1">
      <c r="A265" s="10"/>
    </row>
    <row r="266" spans="1:1">
      <c r="A266" s="10"/>
    </row>
    <row r="267" spans="1:1">
      <c r="A267" s="10"/>
    </row>
    <row r="268" spans="1:1">
      <c r="A268" s="10"/>
    </row>
    <row r="269" spans="1:1">
      <c r="A269" s="10"/>
    </row>
    <row r="270" spans="1:1">
      <c r="A270" s="10"/>
    </row>
    <row r="271" spans="1:1">
      <c r="A271" s="10"/>
    </row>
    <row r="272" spans="1:1">
      <c r="A272" s="10"/>
    </row>
    <row r="273" spans="1:1">
      <c r="A273" s="10"/>
    </row>
    <row r="274" spans="1:1">
      <c r="A274" s="10"/>
    </row>
    <row r="275" spans="1:1">
      <c r="A275" s="10"/>
    </row>
    <row r="276" spans="1:1">
      <c r="A276" s="10"/>
    </row>
    <row r="277" spans="1:1">
      <c r="A277" s="10"/>
    </row>
    <row r="278" spans="1:1">
      <c r="A278" s="10"/>
    </row>
    <row r="279" spans="1:1">
      <c r="A279" s="10"/>
    </row>
    <row r="280" spans="1:1">
      <c r="A280" s="10"/>
    </row>
    <row r="281" spans="1:1">
      <c r="A281" s="10"/>
    </row>
    <row r="282" spans="1:1">
      <c r="A282" s="10"/>
    </row>
    <row r="283" spans="1:1">
      <c r="A283" s="10"/>
    </row>
    <row r="284" spans="1:1">
      <c r="A284" s="10"/>
    </row>
  </sheetData>
  <sheetProtection algorithmName="SHA-512" hashValue="LGHubDH1BL50b4NJLWjJ3Y8vSmgpcCuZ4OssTISw0BLq5cBuzbqVwtlAKwsyfps0p8fdeUNyt3zJs9tqQMOPIA==" saltValue="BKm6hmat3aGGFc3L1tK3bQ==" spinCount="100000" sheet="1" objects="1" scenarios="1" selectLockedCells="1" selectUnlockedCells="1"/>
  <mergeCells count="12">
    <mergeCell ref="G62:I62"/>
    <mergeCell ref="C63:D63"/>
    <mergeCell ref="G63:I63"/>
    <mergeCell ref="A1:H1"/>
    <mergeCell ref="A3:A4"/>
    <mergeCell ref="B3:B4"/>
    <mergeCell ref="C3:C4"/>
    <mergeCell ref="D3:D4"/>
    <mergeCell ref="E3:E4"/>
    <mergeCell ref="F3:F4"/>
    <mergeCell ref="G3:J3"/>
    <mergeCell ref="C62:E62"/>
  </mergeCells>
  <pageMargins left="0.59055118110236227" right="0.59055118110236227" top="0.98425196850393704" bottom="0.59055118110236227" header="0.19685039370078741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84"/>
  <sheetViews>
    <sheetView view="pageBreakPreview" zoomScale="64" zoomScaleNormal="75" zoomScaleSheetLayoutView="64" workbookViewId="0">
      <selection sqref="A1:XFD1048576"/>
    </sheetView>
  </sheetViews>
  <sheetFormatPr defaultColWidth="9.109375" defaultRowHeight="21"/>
  <cols>
    <col min="1" max="1" width="72.6640625" style="400" customWidth="1"/>
    <col min="2" max="2" width="18.44140625" style="396" customWidth="1"/>
    <col min="3" max="3" width="19.5546875" style="396" customWidth="1"/>
    <col min="4" max="4" width="20" style="396" customWidth="1"/>
    <col min="5" max="5" width="20.88671875" style="396" customWidth="1"/>
    <col min="6" max="6" width="18.44140625" style="400" customWidth="1"/>
    <col min="7" max="10" width="17.88671875" style="400" customWidth="1"/>
    <col min="11" max="11" width="9.5546875" style="400" customWidth="1"/>
    <col min="12" max="12" width="9.88671875" style="400" customWidth="1"/>
    <col min="13" max="16384" width="9.109375" style="400"/>
  </cols>
  <sheetData>
    <row r="1" spans="1:11" ht="30.75" customHeight="1">
      <c r="J1" s="5" t="s">
        <v>346</v>
      </c>
    </row>
    <row r="2" spans="1:11" ht="39" customHeight="1">
      <c r="A2" s="493" t="s">
        <v>142</v>
      </c>
      <c r="B2" s="493"/>
      <c r="C2" s="493"/>
      <c r="D2" s="493"/>
      <c r="E2" s="493"/>
      <c r="F2" s="493"/>
      <c r="G2" s="493"/>
      <c r="H2" s="493"/>
      <c r="I2" s="493"/>
      <c r="J2" s="493"/>
    </row>
    <row r="3" spans="1:11" ht="35.25" customHeight="1">
      <c r="A3" s="534" t="s">
        <v>384</v>
      </c>
      <c r="B3" s="534"/>
      <c r="C3" s="534"/>
      <c r="D3" s="534"/>
      <c r="E3" s="534"/>
      <c r="F3" s="534"/>
      <c r="G3" s="534"/>
      <c r="H3" s="534"/>
      <c r="I3" s="534"/>
      <c r="J3" s="534"/>
    </row>
    <row r="4" spans="1:11" ht="43.5" customHeight="1">
      <c r="A4" s="490" t="s">
        <v>163</v>
      </c>
      <c r="B4" s="488" t="s">
        <v>17</v>
      </c>
      <c r="C4" s="483" t="s">
        <v>650</v>
      </c>
      <c r="D4" s="483" t="s">
        <v>651</v>
      </c>
      <c r="E4" s="481" t="s">
        <v>652</v>
      </c>
      <c r="F4" s="488" t="s">
        <v>653</v>
      </c>
      <c r="G4" s="488" t="s">
        <v>324</v>
      </c>
      <c r="H4" s="488"/>
      <c r="I4" s="488"/>
      <c r="J4" s="488"/>
    </row>
    <row r="5" spans="1:11" ht="86.25" customHeight="1">
      <c r="A5" s="490"/>
      <c r="B5" s="488"/>
      <c r="C5" s="484"/>
      <c r="D5" s="484"/>
      <c r="E5" s="482"/>
      <c r="F5" s="488"/>
      <c r="G5" s="408" t="s">
        <v>125</v>
      </c>
      <c r="H5" s="408" t="s">
        <v>126</v>
      </c>
      <c r="I5" s="408" t="s">
        <v>127</v>
      </c>
      <c r="J5" s="408" t="s">
        <v>63</v>
      </c>
    </row>
    <row r="6" spans="1:11" ht="51.75" customHeight="1">
      <c r="A6" s="398">
        <v>1</v>
      </c>
      <c r="B6" s="397">
        <v>2</v>
      </c>
      <c r="C6" s="397">
        <v>3</v>
      </c>
      <c r="D6" s="397">
        <v>4</v>
      </c>
      <c r="E6" s="397">
        <v>5</v>
      </c>
      <c r="F6" s="397">
        <v>6</v>
      </c>
      <c r="G6" s="397">
        <v>7</v>
      </c>
      <c r="H6" s="397">
        <v>8</v>
      </c>
      <c r="I6" s="397">
        <v>9</v>
      </c>
      <c r="J6" s="397">
        <v>10</v>
      </c>
    </row>
    <row r="7" spans="1:11" s="418" customFormat="1" ht="56.25" customHeight="1">
      <c r="A7" s="266" t="s">
        <v>73</v>
      </c>
      <c r="B7" s="267">
        <v>4000</v>
      </c>
      <c r="C7" s="117">
        <f>SUM(C8:C13)</f>
        <v>9509</v>
      </c>
      <c r="D7" s="117">
        <f t="shared" ref="D7:J7" si="0">SUM(D8:D13)</f>
        <v>10316</v>
      </c>
      <c r="E7" s="117">
        <f t="shared" si="0"/>
        <v>10316</v>
      </c>
      <c r="F7" s="117">
        <f>SUM(G7:J7)</f>
        <v>160</v>
      </c>
      <c r="G7" s="117">
        <f t="shared" si="0"/>
        <v>40</v>
      </c>
      <c r="H7" s="117">
        <f t="shared" si="0"/>
        <v>40</v>
      </c>
      <c r="I7" s="117">
        <f t="shared" si="0"/>
        <v>40</v>
      </c>
      <c r="J7" s="117">
        <f t="shared" si="0"/>
        <v>40</v>
      </c>
    </row>
    <row r="8" spans="1:11" ht="49.5" customHeight="1">
      <c r="A8" s="420" t="s">
        <v>1</v>
      </c>
      <c r="B8" s="268" t="s">
        <v>146</v>
      </c>
      <c r="C8" s="116"/>
      <c r="D8" s="116"/>
      <c r="E8" s="116"/>
      <c r="F8" s="116">
        <f>SUM(G8:J8)</f>
        <v>0</v>
      </c>
      <c r="G8" s="116"/>
      <c r="H8" s="116"/>
      <c r="I8" s="116"/>
      <c r="J8" s="116"/>
    </row>
    <row r="9" spans="1:11" ht="57" customHeight="1">
      <c r="A9" s="420" t="s">
        <v>2</v>
      </c>
      <c r="B9" s="268">
        <v>4020</v>
      </c>
      <c r="C9" s="116">
        <f>'Розшифровка кап'!C9</f>
        <v>8520</v>
      </c>
      <c r="D9" s="116">
        <f>'Розшифровка кап'!D9</f>
        <v>7310</v>
      </c>
      <c r="E9" s="116">
        <f>'Розшифровка кап'!E9</f>
        <v>7310</v>
      </c>
      <c r="F9" s="116">
        <f t="shared" ref="F9:F13" si="1">SUM(G9:J9)</f>
        <v>0</v>
      </c>
      <c r="G9" s="116">
        <f>'Розшифровка кап'!G9</f>
        <v>0</v>
      </c>
      <c r="H9" s="116">
        <f>'Розшифровка кап'!H9</f>
        <v>0</v>
      </c>
      <c r="I9" s="116">
        <f>'Розшифровка кап'!I9</f>
        <v>0</v>
      </c>
      <c r="J9" s="116">
        <f>'Розшифровка кап'!J9</f>
        <v>0</v>
      </c>
    </row>
    <row r="10" spans="1:11" ht="63" customHeight="1">
      <c r="A10" s="420" t="s">
        <v>27</v>
      </c>
      <c r="B10" s="268">
        <v>4030</v>
      </c>
      <c r="C10" s="116">
        <f>'Розшифровка кап'!C19</f>
        <v>701</v>
      </c>
      <c r="D10" s="116">
        <f>'Розшифровка кап'!D19</f>
        <v>1223</v>
      </c>
      <c r="E10" s="116">
        <f>'Розшифровка кап'!E19</f>
        <v>1223</v>
      </c>
      <c r="F10" s="116">
        <f t="shared" si="1"/>
        <v>160</v>
      </c>
      <c r="G10" s="116">
        <f>'Розшифровка кап'!G19</f>
        <v>40</v>
      </c>
      <c r="H10" s="116">
        <f>'Розшифровка кап'!H19</f>
        <v>40</v>
      </c>
      <c r="I10" s="116">
        <f>'Розшифровка кап'!I19</f>
        <v>40</v>
      </c>
      <c r="J10" s="116">
        <f>'Розшифровка кап'!J19</f>
        <v>40</v>
      </c>
    </row>
    <row r="11" spans="1:11" ht="57" customHeight="1">
      <c r="A11" s="420" t="s">
        <v>3</v>
      </c>
      <c r="B11" s="268">
        <v>4040</v>
      </c>
      <c r="C11" s="116"/>
      <c r="D11" s="116"/>
      <c r="E11" s="116"/>
      <c r="F11" s="116">
        <f t="shared" si="1"/>
        <v>0</v>
      </c>
      <c r="G11" s="116"/>
      <c r="H11" s="116"/>
      <c r="I11" s="116"/>
      <c r="J11" s="116"/>
    </row>
    <row r="12" spans="1:11" ht="57" customHeight="1">
      <c r="A12" s="420" t="s">
        <v>59</v>
      </c>
      <c r="B12" s="268">
        <v>4050</v>
      </c>
      <c r="C12" s="116">
        <f>'Розшифровка кап'!C25</f>
        <v>288</v>
      </c>
      <c r="D12" s="116">
        <f>'Розшифровка кап'!D25</f>
        <v>1783</v>
      </c>
      <c r="E12" s="116">
        <f>'Розшифровка кап'!E25</f>
        <v>1783</v>
      </c>
      <c r="F12" s="116">
        <f t="shared" si="1"/>
        <v>0</v>
      </c>
      <c r="G12" s="116">
        <f>'Розшифровка кап'!G25</f>
        <v>0</v>
      </c>
      <c r="H12" s="116">
        <f>'Розшифровка кап'!H25</f>
        <v>0</v>
      </c>
      <c r="I12" s="116">
        <f>'Розшифровка кап'!I25</f>
        <v>0</v>
      </c>
      <c r="J12" s="116">
        <f>'Розшифровка кап'!J25</f>
        <v>0</v>
      </c>
    </row>
    <row r="13" spans="1:11" ht="57" customHeight="1">
      <c r="A13" s="420" t="s">
        <v>266</v>
      </c>
      <c r="B13" s="268">
        <v>4060</v>
      </c>
      <c r="C13" s="116"/>
      <c r="D13" s="116"/>
      <c r="E13" s="116"/>
      <c r="F13" s="116">
        <f t="shared" si="1"/>
        <v>0</v>
      </c>
      <c r="G13" s="116"/>
      <c r="H13" s="116"/>
      <c r="I13" s="116"/>
      <c r="J13" s="116"/>
    </row>
    <row r="14" spans="1:11" ht="20.100000000000001" customHeight="1">
      <c r="B14" s="400"/>
      <c r="C14" s="400"/>
      <c r="D14" s="400"/>
      <c r="E14" s="400"/>
      <c r="F14" s="295"/>
      <c r="G14" s="295"/>
      <c r="H14" s="295"/>
      <c r="I14" s="295"/>
      <c r="J14" s="295"/>
    </row>
    <row r="15" spans="1:11" ht="20.100000000000001" customHeight="1">
      <c r="B15" s="400"/>
      <c r="C15" s="400"/>
      <c r="D15" s="400"/>
      <c r="E15" s="400"/>
      <c r="G15" s="295"/>
      <c r="H15" s="295"/>
      <c r="I15" s="295"/>
      <c r="J15" s="295"/>
    </row>
    <row r="16" spans="1:11" s="6" customFormat="1" ht="20.100000000000001" customHeight="1">
      <c r="A16" s="399"/>
      <c r="C16" s="400"/>
      <c r="D16" s="400"/>
      <c r="E16" s="400"/>
      <c r="F16" s="400"/>
      <c r="G16" s="400"/>
      <c r="H16" s="400"/>
      <c r="I16" s="400"/>
      <c r="J16" s="400"/>
      <c r="K16" s="400"/>
    </row>
    <row r="17" spans="1:10" s="100" customFormat="1" ht="39" customHeight="1">
      <c r="A17" s="421" t="s">
        <v>479</v>
      </c>
      <c r="B17" s="137"/>
      <c r="C17" s="507" t="s">
        <v>84</v>
      </c>
      <c r="D17" s="508"/>
      <c r="E17" s="508"/>
      <c r="F17" s="508"/>
      <c r="G17" s="138"/>
      <c r="H17" s="509" t="s">
        <v>546</v>
      </c>
      <c r="I17" s="509"/>
      <c r="J17" s="509"/>
    </row>
    <row r="18" spans="1:10" s="101" customFormat="1" ht="46.5" customHeight="1">
      <c r="A18" s="406" t="s">
        <v>68</v>
      </c>
      <c r="B18" s="139"/>
      <c r="C18" s="518" t="s">
        <v>69</v>
      </c>
      <c r="D18" s="518"/>
      <c r="E18" s="518"/>
      <c r="F18" s="518"/>
      <c r="G18" s="140"/>
      <c r="H18" s="512" t="s">
        <v>82</v>
      </c>
      <c r="I18" s="512"/>
      <c r="J18" s="512"/>
    </row>
    <row r="19" spans="1:10">
      <c r="A19" s="4"/>
    </row>
    <row r="20" spans="1:10">
      <c r="A20" s="4"/>
    </row>
    <row r="21" spans="1:10">
      <c r="A21" s="4"/>
    </row>
    <row r="22" spans="1:10">
      <c r="A22" s="4"/>
    </row>
    <row r="23" spans="1:10">
      <c r="A23" s="4"/>
    </row>
    <row r="24" spans="1:10">
      <c r="A24" s="4"/>
    </row>
    <row r="25" spans="1:10">
      <c r="A25" s="4"/>
    </row>
    <row r="26" spans="1:10">
      <c r="A26" s="4"/>
    </row>
    <row r="27" spans="1:10">
      <c r="A27" s="4"/>
    </row>
    <row r="28" spans="1:10">
      <c r="A28" s="4"/>
    </row>
    <row r="29" spans="1:10">
      <c r="A29" s="4"/>
    </row>
    <row r="30" spans="1:10">
      <c r="A30" s="4"/>
    </row>
    <row r="31" spans="1:10">
      <c r="A31" s="4"/>
    </row>
    <row r="32" spans="1:10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</sheetData>
  <sheetProtection algorithmName="SHA-512" hashValue="HJNjWlG3gTLdCjPzEvJH6XXlnr1oV10NeHmhzTjDgeXmWn1hYktP3ilsYa2ONbALF6gNFcKjgltuqUYncKD9aA==" saltValue="zzVKeP/jjIroPWTcmsWRwg==" spinCount="100000" sheet="1" objects="1" scenarios="1" selectLockedCells="1" selectUnlockedCells="1"/>
  <mergeCells count="13">
    <mergeCell ref="C17:F17"/>
    <mergeCell ref="H17:J17"/>
    <mergeCell ref="C18:F18"/>
    <mergeCell ref="H18:J18"/>
    <mergeCell ref="A4:A5"/>
    <mergeCell ref="A2:J2"/>
    <mergeCell ref="B4:B5"/>
    <mergeCell ref="C4:C5"/>
    <mergeCell ref="D4:D5"/>
    <mergeCell ref="A3:J3"/>
    <mergeCell ref="F4:F5"/>
    <mergeCell ref="G4:J4"/>
    <mergeCell ref="E4:E5"/>
  </mergeCells>
  <phoneticPr fontId="0" type="noConversion"/>
  <pageMargins left="0.59055118110236227" right="0.59055118110236227" top="0.98425196850393704" bottom="0.59055118110236227" header="0.19685039370078741" footer="0.31496062992125984"/>
  <pageSetup paperSize="9" scale="56" firstPageNumber="9" orientation="landscape" useFirstPageNumber="1" r:id="rId1"/>
  <headerFooter alignWithMargins="0"/>
  <ignoredErrors>
    <ignoredError sqref="B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0"/>
  <sheetViews>
    <sheetView view="pageBreakPreview" zoomScale="50" zoomScaleNormal="100" zoomScaleSheetLayoutView="50" workbookViewId="0">
      <selection sqref="A1:XFD1048576"/>
    </sheetView>
  </sheetViews>
  <sheetFormatPr defaultColWidth="9.109375" defaultRowHeight="18"/>
  <cols>
    <col min="1" max="1" width="75.5546875" style="1" customWidth="1"/>
    <col min="2" max="2" width="15.109375" style="403" customWidth="1"/>
    <col min="3" max="3" width="17.88671875" style="403" customWidth="1"/>
    <col min="4" max="4" width="17.5546875" style="403" customWidth="1"/>
    <col min="5" max="5" width="18.33203125" style="403" customWidth="1"/>
    <col min="6" max="6" width="16.109375" style="403" customWidth="1"/>
    <col min="7" max="10" width="13.88671875" style="1" customWidth="1"/>
    <col min="11" max="16384" width="9.109375" style="1"/>
  </cols>
  <sheetData>
    <row r="1" spans="1:10" ht="24.75" customHeight="1">
      <c r="A1" s="535" t="s">
        <v>403</v>
      </c>
      <c r="B1" s="535"/>
      <c r="C1" s="535"/>
      <c r="D1" s="535"/>
      <c r="E1" s="535"/>
      <c r="F1" s="535"/>
      <c r="G1" s="535"/>
      <c r="H1" s="535"/>
    </row>
    <row r="2" spans="1:10" ht="18.75" customHeight="1">
      <c r="A2" s="411"/>
      <c r="B2" s="7"/>
      <c r="C2" s="411"/>
      <c r="D2" s="411"/>
      <c r="E2" s="411"/>
      <c r="F2" s="7"/>
      <c r="G2" s="411"/>
      <c r="H2" s="411"/>
      <c r="I2" s="541" t="s">
        <v>314</v>
      </c>
      <c r="J2" s="541"/>
    </row>
    <row r="3" spans="1:10" ht="41.25" customHeight="1">
      <c r="A3" s="536" t="s">
        <v>435</v>
      </c>
      <c r="B3" s="538" t="s">
        <v>17</v>
      </c>
      <c r="C3" s="483" t="s">
        <v>650</v>
      </c>
      <c r="D3" s="483" t="s">
        <v>651</v>
      </c>
      <c r="E3" s="481" t="s">
        <v>652</v>
      </c>
      <c r="F3" s="488" t="s">
        <v>653</v>
      </c>
      <c r="G3" s="540" t="s">
        <v>324</v>
      </c>
      <c r="H3" s="540"/>
      <c r="I3" s="540"/>
      <c r="J3" s="540"/>
    </row>
    <row r="4" spans="1:10" ht="61.5" customHeight="1">
      <c r="A4" s="537"/>
      <c r="B4" s="539"/>
      <c r="C4" s="484"/>
      <c r="D4" s="484"/>
      <c r="E4" s="482"/>
      <c r="F4" s="488"/>
      <c r="G4" s="321" t="s">
        <v>125</v>
      </c>
      <c r="H4" s="321" t="s">
        <v>126</v>
      </c>
      <c r="I4" s="321" t="s">
        <v>127</v>
      </c>
      <c r="J4" s="321" t="s">
        <v>63</v>
      </c>
    </row>
    <row r="5" spans="1:10" ht="23.25" customHeight="1">
      <c r="A5" s="315">
        <v>1</v>
      </c>
      <c r="B5" s="412">
        <v>2</v>
      </c>
      <c r="C5" s="412">
        <v>3</v>
      </c>
      <c r="D5" s="412">
        <v>4</v>
      </c>
      <c r="E5" s="412">
        <v>5</v>
      </c>
      <c r="F5" s="412">
        <v>6</v>
      </c>
      <c r="G5" s="412">
        <v>7</v>
      </c>
      <c r="H5" s="412">
        <v>8</v>
      </c>
      <c r="I5" s="315">
        <v>9</v>
      </c>
      <c r="J5" s="315">
        <v>10</v>
      </c>
    </row>
    <row r="6" spans="1:10" ht="41.25" customHeight="1">
      <c r="A6" s="171" t="s">
        <v>73</v>
      </c>
      <c r="B6" s="225">
        <v>4000</v>
      </c>
      <c r="C6" s="111">
        <f>SUM(C9,C19,C25)</f>
        <v>9509</v>
      </c>
      <c r="D6" s="111">
        <f>SUM(D9,D19,D25)</f>
        <v>10316</v>
      </c>
      <c r="E6" s="111">
        <f>SUM(E9,E19,E25)</f>
        <v>10316</v>
      </c>
      <c r="F6" s="111">
        <f t="shared" ref="F6:F8" si="0">SUM(G6:J6)</f>
        <v>160</v>
      </c>
      <c r="G6" s="111">
        <f>SUM(G9,G19,G25)</f>
        <v>40</v>
      </c>
      <c r="H6" s="111">
        <f>SUM(H9,H19,H25)</f>
        <v>40</v>
      </c>
      <c r="I6" s="111">
        <f>SUM(I9,I19,I25)</f>
        <v>40</v>
      </c>
      <c r="J6" s="111">
        <f>SUM(J9,J19,J25)</f>
        <v>40</v>
      </c>
    </row>
    <row r="7" spans="1:10" ht="33" hidden="1" customHeight="1">
      <c r="A7" s="171" t="s">
        <v>1</v>
      </c>
      <c r="B7" s="225">
        <v>4010</v>
      </c>
      <c r="C7" s="111">
        <f>C8</f>
        <v>0</v>
      </c>
      <c r="D7" s="111">
        <f>D8</f>
        <v>0</v>
      </c>
      <c r="E7" s="111">
        <f t="shared" ref="E7:E35" si="1">D7</f>
        <v>0</v>
      </c>
      <c r="F7" s="111">
        <f t="shared" si="0"/>
        <v>0</v>
      </c>
      <c r="G7" s="111">
        <f>G8</f>
        <v>0</v>
      </c>
      <c r="H7" s="111">
        <f>H8</f>
        <v>0</v>
      </c>
      <c r="I7" s="111">
        <f>I8</f>
        <v>0</v>
      </c>
      <c r="J7" s="111">
        <f>J8</f>
        <v>0</v>
      </c>
    </row>
    <row r="8" spans="1:10" ht="9" hidden="1" customHeight="1">
      <c r="A8" s="166"/>
      <c r="B8" s="225"/>
      <c r="C8" s="185"/>
      <c r="D8" s="185">
        <v>0</v>
      </c>
      <c r="E8" s="185">
        <f t="shared" si="1"/>
        <v>0</v>
      </c>
      <c r="F8" s="111">
        <f t="shared" si="0"/>
        <v>0</v>
      </c>
      <c r="G8" s="185"/>
      <c r="H8" s="185"/>
      <c r="I8" s="186"/>
      <c r="J8" s="186"/>
    </row>
    <row r="9" spans="1:10" s="160" customFormat="1" ht="34.5" customHeight="1">
      <c r="A9" s="171" t="s">
        <v>2</v>
      </c>
      <c r="B9" s="167">
        <v>4020</v>
      </c>
      <c r="C9" s="111">
        <f>SUM(C10:C18)</f>
        <v>8520</v>
      </c>
      <c r="D9" s="111">
        <f t="shared" ref="D9:J9" si="2">SUM(D10:D18)</f>
        <v>7310</v>
      </c>
      <c r="E9" s="111">
        <f t="shared" si="2"/>
        <v>7310</v>
      </c>
      <c r="F9" s="111">
        <f>SUM(G9:J9)</f>
        <v>0</v>
      </c>
      <c r="G9" s="111">
        <f t="shared" si="2"/>
        <v>0</v>
      </c>
      <c r="H9" s="111">
        <f t="shared" si="2"/>
        <v>0</v>
      </c>
      <c r="I9" s="111">
        <f t="shared" si="2"/>
        <v>0</v>
      </c>
      <c r="J9" s="111">
        <f t="shared" si="2"/>
        <v>0</v>
      </c>
    </row>
    <row r="10" spans="1:10" s="160" customFormat="1" ht="23.25" customHeight="1">
      <c r="A10" s="355" t="s">
        <v>685</v>
      </c>
      <c r="B10" s="167"/>
      <c r="C10" s="185">
        <v>30</v>
      </c>
      <c r="D10" s="185"/>
      <c r="E10" s="185"/>
      <c r="F10" s="185">
        <f>SUM(G10:J10)</f>
        <v>0</v>
      </c>
      <c r="G10" s="185"/>
      <c r="H10" s="185"/>
      <c r="I10" s="185"/>
      <c r="J10" s="185"/>
    </row>
    <row r="11" spans="1:10" s="160" customFormat="1" ht="23.25" customHeight="1">
      <c r="A11" s="355" t="s">
        <v>686</v>
      </c>
      <c r="B11" s="167"/>
      <c r="C11" s="185">
        <v>82</v>
      </c>
      <c r="D11" s="185"/>
      <c r="E11" s="185"/>
      <c r="F11" s="185">
        <f t="shared" ref="F11:F32" si="3">SUM(G11:J11)</f>
        <v>0</v>
      </c>
      <c r="G11" s="185"/>
      <c r="H11" s="185"/>
      <c r="I11" s="186"/>
      <c r="J11" s="186"/>
    </row>
    <row r="12" spans="1:10" s="160" customFormat="1" ht="23.25" customHeight="1">
      <c r="A12" s="166" t="s">
        <v>687</v>
      </c>
      <c r="B12" s="167"/>
      <c r="C12" s="185">
        <v>50</v>
      </c>
      <c r="D12" s="185"/>
      <c r="E12" s="185"/>
      <c r="F12" s="185">
        <f t="shared" si="3"/>
        <v>0</v>
      </c>
      <c r="G12" s="185"/>
      <c r="H12" s="185"/>
      <c r="I12" s="186"/>
      <c r="J12" s="186"/>
    </row>
    <row r="13" spans="1:10" s="160" customFormat="1" ht="23.25" customHeight="1">
      <c r="A13" s="166" t="s">
        <v>688</v>
      </c>
      <c r="B13" s="167"/>
      <c r="C13" s="185">
        <v>21</v>
      </c>
      <c r="D13" s="185"/>
      <c r="E13" s="185"/>
      <c r="F13" s="185">
        <f t="shared" si="3"/>
        <v>0</v>
      </c>
      <c r="G13" s="185"/>
      <c r="H13" s="185"/>
      <c r="I13" s="186"/>
      <c r="J13" s="186"/>
    </row>
    <row r="14" spans="1:10" s="160" customFormat="1" ht="23.25" customHeight="1">
      <c r="A14" s="166" t="s">
        <v>630</v>
      </c>
      <c r="B14" s="167"/>
      <c r="C14" s="185">
        <v>3554</v>
      </c>
      <c r="D14" s="185"/>
      <c r="E14" s="185"/>
      <c r="F14" s="185">
        <f t="shared" si="3"/>
        <v>0</v>
      </c>
      <c r="G14" s="185"/>
      <c r="H14" s="185"/>
      <c r="I14" s="186"/>
      <c r="J14" s="186"/>
    </row>
    <row r="15" spans="1:10" s="160" customFormat="1" ht="23.25" customHeight="1">
      <c r="A15" s="166" t="s">
        <v>631</v>
      </c>
      <c r="B15" s="167"/>
      <c r="C15" s="185">
        <v>4783</v>
      </c>
      <c r="D15" s="185"/>
      <c r="E15" s="185"/>
      <c r="F15" s="185">
        <f t="shared" si="3"/>
        <v>0</v>
      </c>
      <c r="G15" s="185"/>
      <c r="H15" s="185"/>
      <c r="I15" s="186"/>
      <c r="J15" s="186"/>
    </row>
    <row r="16" spans="1:10" s="160" customFormat="1" ht="36.75" customHeight="1">
      <c r="A16" s="438" t="s">
        <v>691</v>
      </c>
      <c r="B16" s="167"/>
      <c r="C16" s="185"/>
      <c r="D16" s="185">
        <v>3201</v>
      </c>
      <c r="E16" s="185">
        <v>3201</v>
      </c>
      <c r="F16" s="185">
        <f t="shared" si="3"/>
        <v>0</v>
      </c>
      <c r="G16" s="185"/>
      <c r="H16" s="185"/>
      <c r="I16" s="186"/>
      <c r="J16" s="186"/>
    </row>
    <row r="17" spans="1:10" s="160" customFormat="1" ht="23.25" customHeight="1">
      <c r="A17" s="438" t="s">
        <v>701</v>
      </c>
      <c r="B17" s="167"/>
      <c r="C17" s="185"/>
      <c r="D17" s="185">
        <v>558</v>
      </c>
      <c r="E17" s="185">
        <v>558</v>
      </c>
      <c r="F17" s="185">
        <f t="shared" si="3"/>
        <v>0</v>
      </c>
      <c r="G17" s="185"/>
      <c r="H17" s="185"/>
      <c r="I17" s="186"/>
      <c r="J17" s="186"/>
    </row>
    <row r="18" spans="1:10" s="160" customFormat="1" ht="37.5" customHeight="1">
      <c r="A18" s="438" t="s">
        <v>702</v>
      </c>
      <c r="B18" s="167"/>
      <c r="C18" s="185"/>
      <c r="D18" s="185">
        <v>3551</v>
      </c>
      <c r="E18" s="185">
        <v>3551</v>
      </c>
      <c r="F18" s="185">
        <f t="shared" si="3"/>
        <v>0</v>
      </c>
      <c r="G18" s="185"/>
      <c r="H18" s="185"/>
      <c r="I18" s="186"/>
      <c r="J18" s="186"/>
    </row>
    <row r="19" spans="1:10" s="160" customFormat="1" ht="42" customHeight="1">
      <c r="A19" s="171" t="s">
        <v>27</v>
      </c>
      <c r="B19" s="167">
        <v>4030</v>
      </c>
      <c r="C19" s="111">
        <f>SUM(C21:C22)</f>
        <v>701</v>
      </c>
      <c r="D19" s="111">
        <f t="shared" ref="D19:J19" si="4">SUM(D21:D22)</f>
        <v>1223</v>
      </c>
      <c r="E19" s="111">
        <f t="shared" si="4"/>
        <v>1223</v>
      </c>
      <c r="F19" s="111">
        <f t="shared" si="3"/>
        <v>160</v>
      </c>
      <c r="G19" s="111">
        <f t="shared" si="4"/>
        <v>40</v>
      </c>
      <c r="H19" s="111">
        <f t="shared" si="4"/>
        <v>40</v>
      </c>
      <c r="I19" s="111">
        <f t="shared" si="4"/>
        <v>40</v>
      </c>
      <c r="J19" s="111">
        <f t="shared" si="4"/>
        <v>40</v>
      </c>
    </row>
    <row r="20" spans="1:10" s="160" customFormat="1" ht="25.5" hidden="1" customHeight="1">
      <c r="A20" s="322" t="s">
        <v>425</v>
      </c>
      <c r="B20" s="167"/>
      <c r="C20" s="185"/>
      <c r="D20" s="185"/>
      <c r="E20" s="185">
        <f t="shared" si="1"/>
        <v>0</v>
      </c>
      <c r="F20" s="185">
        <f t="shared" si="3"/>
        <v>0</v>
      </c>
      <c r="G20" s="185"/>
      <c r="H20" s="185"/>
      <c r="I20" s="185"/>
      <c r="J20" s="185"/>
    </row>
    <row r="21" spans="1:10" s="160" customFormat="1" ht="23.25" customHeight="1">
      <c r="A21" s="166" t="s">
        <v>461</v>
      </c>
      <c r="B21" s="167"/>
      <c r="C21" s="185">
        <v>139</v>
      </c>
      <c r="D21" s="185">
        <v>160</v>
      </c>
      <c r="E21" s="185">
        <v>160</v>
      </c>
      <c r="F21" s="185">
        <f t="shared" si="3"/>
        <v>160</v>
      </c>
      <c r="G21" s="185">
        <v>40</v>
      </c>
      <c r="H21" s="185">
        <v>40</v>
      </c>
      <c r="I21" s="185">
        <v>40</v>
      </c>
      <c r="J21" s="185">
        <v>40</v>
      </c>
    </row>
    <row r="22" spans="1:10" s="160" customFormat="1" ht="23.25" customHeight="1">
      <c r="A22" s="166" t="s">
        <v>693</v>
      </c>
      <c r="B22" s="167"/>
      <c r="C22" s="185">
        <v>562</v>
      </c>
      <c r="D22" s="185">
        <v>1063</v>
      </c>
      <c r="E22" s="185">
        <f t="shared" si="1"/>
        <v>1063</v>
      </c>
      <c r="F22" s="185">
        <f t="shared" si="3"/>
        <v>0</v>
      </c>
      <c r="G22" s="185"/>
      <c r="H22" s="185"/>
      <c r="I22" s="185"/>
      <c r="J22" s="185"/>
    </row>
    <row r="23" spans="1:10" s="160" customFormat="1" ht="28.5" hidden="1" customHeight="1">
      <c r="A23" s="171" t="s">
        <v>3</v>
      </c>
      <c r="B23" s="167">
        <v>4040</v>
      </c>
      <c r="C23" s="111"/>
      <c r="D23" s="111"/>
      <c r="E23" s="111">
        <f t="shared" si="1"/>
        <v>0</v>
      </c>
      <c r="F23" s="185">
        <f t="shared" si="3"/>
        <v>0</v>
      </c>
      <c r="G23" s="111"/>
      <c r="H23" s="111"/>
      <c r="I23" s="356"/>
      <c r="J23" s="356"/>
    </row>
    <row r="24" spans="1:10" s="160" customFormat="1" ht="28.5" hidden="1" customHeight="1">
      <c r="A24" s="166" t="s">
        <v>476</v>
      </c>
      <c r="B24" s="167"/>
      <c r="C24" s="185"/>
      <c r="D24" s="185"/>
      <c r="E24" s="185"/>
      <c r="F24" s="185">
        <f t="shared" si="3"/>
        <v>0</v>
      </c>
      <c r="G24" s="185"/>
      <c r="H24" s="185"/>
      <c r="I24" s="186"/>
      <c r="J24" s="186"/>
    </row>
    <row r="25" spans="1:10" s="160" customFormat="1" ht="43.5" customHeight="1">
      <c r="A25" s="171" t="s">
        <v>59</v>
      </c>
      <c r="B25" s="167">
        <v>4050</v>
      </c>
      <c r="C25" s="111">
        <f>SUM(C26:C32)</f>
        <v>288</v>
      </c>
      <c r="D25" s="111">
        <f t="shared" ref="D25:J25" si="5">SUM(D26:D32)</f>
        <v>1783</v>
      </c>
      <c r="E25" s="111">
        <f t="shared" si="5"/>
        <v>1783</v>
      </c>
      <c r="F25" s="111">
        <f t="shared" si="3"/>
        <v>0</v>
      </c>
      <c r="G25" s="111">
        <f t="shared" si="5"/>
        <v>0</v>
      </c>
      <c r="H25" s="111">
        <f t="shared" si="5"/>
        <v>0</v>
      </c>
      <c r="I25" s="111">
        <f t="shared" si="5"/>
        <v>0</v>
      </c>
      <c r="J25" s="111">
        <f t="shared" si="5"/>
        <v>0</v>
      </c>
    </row>
    <row r="26" spans="1:10" s="160" customFormat="1" ht="23.25" customHeight="1">
      <c r="A26" s="166" t="s">
        <v>637</v>
      </c>
      <c r="B26" s="167"/>
      <c r="C26" s="185">
        <v>7</v>
      </c>
      <c r="D26" s="185"/>
      <c r="E26" s="185"/>
      <c r="F26" s="185">
        <f t="shared" si="3"/>
        <v>0</v>
      </c>
      <c r="G26" s="185"/>
      <c r="H26" s="185"/>
      <c r="I26" s="186"/>
      <c r="J26" s="186"/>
    </row>
    <row r="27" spans="1:10" s="160" customFormat="1" ht="23.25" customHeight="1">
      <c r="A27" s="166" t="s">
        <v>579</v>
      </c>
      <c r="B27" s="167"/>
      <c r="C27" s="185">
        <v>17</v>
      </c>
      <c r="D27" s="185"/>
      <c r="E27" s="185"/>
      <c r="F27" s="185">
        <f t="shared" si="3"/>
        <v>0</v>
      </c>
      <c r="G27" s="185"/>
      <c r="H27" s="185"/>
      <c r="I27" s="186"/>
      <c r="J27" s="186"/>
    </row>
    <row r="28" spans="1:10" s="160" customFormat="1" ht="23.25" customHeight="1">
      <c r="A28" s="166" t="s">
        <v>578</v>
      </c>
      <c r="B28" s="167"/>
      <c r="C28" s="185">
        <v>69</v>
      </c>
      <c r="D28" s="185"/>
      <c r="E28" s="185"/>
      <c r="F28" s="185">
        <f t="shared" si="3"/>
        <v>0</v>
      </c>
      <c r="G28" s="185"/>
      <c r="H28" s="185"/>
      <c r="I28" s="186"/>
      <c r="J28" s="186"/>
    </row>
    <row r="29" spans="1:10" s="160" customFormat="1" ht="23.25" customHeight="1">
      <c r="A29" s="166" t="s">
        <v>689</v>
      </c>
      <c r="B29" s="167"/>
      <c r="C29" s="185">
        <v>159</v>
      </c>
      <c r="D29" s="185"/>
      <c r="E29" s="185"/>
      <c r="F29" s="185">
        <f t="shared" si="3"/>
        <v>0</v>
      </c>
      <c r="G29" s="185"/>
      <c r="H29" s="185"/>
      <c r="I29" s="186"/>
      <c r="J29" s="186"/>
    </row>
    <row r="30" spans="1:10" s="160" customFormat="1" ht="23.25" customHeight="1">
      <c r="A30" s="166" t="s">
        <v>690</v>
      </c>
      <c r="B30" s="167"/>
      <c r="C30" s="185">
        <v>9</v>
      </c>
      <c r="D30" s="185"/>
      <c r="E30" s="185"/>
      <c r="F30" s="185">
        <f t="shared" si="3"/>
        <v>0</v>
      </c>
      <c r="G30" s="185"/>
      <c r="H30" s="185"/>
      <c r="I30" s="186"/>
      <c r="J30" s="186"/>
    </row>
    <row r="31" spans="1:10" s="160" customFormat="1" ht="23.25" customHeight="1">
      <c r="A31" s="166" t="s">
        <v>686</v>
      </c>
      <c r="B31" s="167"/>
      <c r="C31" s="185">
        <v>27</v>
      </c>
      <c r="D31" s="185"/>
      <c r="E31" s="185"/>
      <c r="F31" s="185">
        <f t="shared" si="3"/>
        <v>0</v>
      </c>
      <c r="G31" s="185"/>
      <c r="H31" s="185"/>
      <c r="I31" s="186"/>
      <c r="J31" s="186"/>
    </row>
    <row r="32" spans="1:10" s="160" customFormat="1" ht="23.25" customHeight="1">
      <c r="A32" s="166" t="s">
        <v>703</v>
      </c>
      <c r="B32" s="167"/>
      <c r="C32" s="185"/>
      <c r="D32" s="185">
        <v>1783</v>
      </c>
      <c r="E32" s="185">
        <v>1783</v>
      </c>
      <c r="F32" s="185">
        <f t="shared" si="3"/>
        <v>0</v>
      </c>
      <c r="G32" s="185"/>
      <c r="H32" s="185"/>
      <c r="I32" s="186"/>
      <c r="J32" s="186"/>
    </row>
    <row r="33" spans="1:10" ht="10.5" customHeight="1"/>
    <row r="34" spans="1:10" s="160" customFormat="1" ht="24.75" hidden="1" customHeight="1">
      <c r="A34" s="166" t="s">
        <v>535</v>
      </c>
      <c r="B34" s="167"/>
      <c r="C34" s="185"/>
      <c r="D34" s="185"/>
      <c r="E34" s="185"/>
      <c r="F34" s="185"/>
      <c r="G34" s="185"/>
      <c r="H34" s="185"/>
      <c r="I34" s="186"/>
      <c r="J34" s="186"/>
    </row>
    <row r="35" spans="1:10" s="160" customFormat="1" ht="21" hidden="1" customHeight="1">
      <c r="A35" s="187" t="s">
        <v>266</v>
      </c>
      <c r="B35" s="167">
        <v>4060</v>
      </c>
      <c r="C35" s="185"/>
      <c r="D35" s="185"/>
      <c r="E35" s="185">
        <f t="shared" si="1"/>
        <v>0</v>
      </c>
      <c r="F35" s="185">
        <f t="shared" ref="F35" si="6">SUM(G35:J35)</f>
        <v>0</v>
      </c>
      <c r="G35" s="185"/>
      <c r="H35" s="185"/>
      <c r="I35" s="185"/>
      <c r="J35" s="185"/>
    </row>
    <row r="36" spans="1:10" ht="15" customHeight="1">
      <c r="A36" s="9"/>
      <c r="C36" s="3"/>
      <c r="D36" s="8"/>
      <c r="E36" s="8"/>
      <c r="F36" s="8"/>
      <c r="G36" s="8"/>
      <c r="H36" s="8"/>
    </row>
    <row r="37" spans="1:10" s="188" customFormat="1" ht="26.25" customHeight="1">
      <c r="A37" s="180" t="s">
        <v>479</v>
      </c>
      <c r="B37" s="181"/>
      <c r="C37" s="533" t="s">
        <v>84</v>
      </c>
      <c r="D37" s="533"/>
      <c r="E37" s="533"/>
      <c r="F37" s="182"/>
      <c r="G37" s="528" t="s">
        <v>546</v>
      </c>
      <c r="H37" s="528"/>
      <c r="I37" s="528"/>
      <c r="J37" s="97"/>
    </row>
    <row r="38" spans="1:10">
      <c r="A38" s="403" t="s">
        <v>360</v>
      </c>
      <c r="B38" s="1"/>
      <c r="C38" s="505" t="s">
        <v>69</v>
      </c>
      <c r="D38" s="505"/>
      <c r="E38" s="505"/>
      <c r="F38" s="1"/>
      <c r="G38" s="506" t="s">
        <v>82</v>
      </c>
      <c r="H38" s="506"/>
      <c r="I38" s="506"/>
    </row>
    <row r="39" spans="1:10">
      <c r="A39" s="9"/>
      <c r="C39" s="3"/>
      <c r="D39" s="8"/>
      <c r="E39" s="8"/>
      <c r="F39" s="8"/>
      <c r="G39" s="8"/>
      <c r="H39" s="8"/>
    </row>
    <row r="40" spans="1:10">
      <c r="A40" s="9"/>
      <c r="C40" s="3"/>
      <c r="D40" s="8"/>
      <c r="E40" s="8"/>
      <c r="F40" s="8"/>
      <c r="G40" s="8"/>
      <c r="H40" s="8"/>
    </row>
    <row r="41" spans="1:10">
      <c r="A41" s="9"/>
      <c r="C41" s="3"/>
      <c r="D41" s="8"/>
      <c r="E41" s="8"/>
      <c r="F41" s="8"/>
      <c r="G41" s="8"/>
      <c r="H41" s="8"/>
    </row>
    <row r="42" spans="1:10">
      <c r="A42" s="9"/>
      <c r="C42" s="3"/>
      <c r="D42" s="8"/>
      <c r="E42" s="8"/>
      <c r="F42" s="8"/>
      <c r="G42" s="8"/>
      <c r="H42" s="8"/>
    </row>
    <row r="43" spans="1:10">
      <c r="A43" s="9"/>
      <c r="C43" s="3"/>
      <c r="D43" s="8"/>
      <c r="E43" s="8"/>
      <c r="F43" s="8"/>
      <c r="G43" s="8"/>
      <c r="H43" s="8"/>
    </row>
    <row r="44" spans="1:10">
      <c r="A44" s="9"/>
      <c r="C44" s="3"/>
      <c r="D44" s="8"/>
      <c r="E44" s="8"/>
      <c r="F44" s="8"/>
      <c r="G44" s="8"/>
      <c r="H44" s="8"/>
    </row>
    <row r="45" spans="1:10">
      <c r="A45" s="9"/>
      <c r="C45" s="3"/>
      <c r="D45" s="8"/>
      <c r="E45" s="8"/>
      <c r="F45" s="8"/>
      <c r="G45" s="8"/>
      <c r="H45" s="8"/>
    </row>
    <row r="46" spans="1:10">
      <c r="A46" s="9"/>
      <c r="C46" s="3"/>
      <c r="D46" s="8"/>
      <c r="E46" s="8"/>
      <c r="F46" s="8"/>
      <c r="G46" s="8"/>
      <c r="H46" s="8"/>
    </row>
    <row r="47" spans="1:10">
      <c r="A47" s="9"/>
      <c r="C47" s="3"/>
      <c r="D47" s="8"/>
      <c r="E47" s="8"/>
      <c r="F47" s="8"/>
      <c r="G47" s="8"/>
      <c r="H47" s="8"/>
    </row>
    <row r="48" spans="1:10">
      <c r="A48" s="9"/>
      <c r="C48" s="3"/>
      <c r="D48" s="8"/>
      <c r="E48" s="8"/>
      <c r="F48" s="8"/>
      <c r="G48" s="8"/>
      <c r="H48" s="8"/>
    </row>
    <row r="49" spans="1:8">
      <c r="A49" s="9"/>
      <c r="C49" s="3"/>
      <c r="D49" s="8"/>
      <c r="E49" s="8"/>
      <c r="F49" s="8"/>
      <c r="G49" s="8"/>
      <c r="H49" s="8"/>
    </row>
    <row r="50" spans="1:8">
      <c r="A50" s="9"/>
      <c r="C50" s="3"/>
      <c r="D50" s="8"/>
      <c r="E50" s="8"/>
      <c r="F50" s="8"/>
      <c r="G50" s="8"/>
      <c r="H50" s="8"/>
    </row>
    <row r="51" spans="1:8">
      <c r="A51" s="9"/>
      <c r="C51" s="3"/>
      <c r="D51" s="8"/>
      <c r="E51" s="8"/>
      <c r="F51" s="8"/>
      <c r="G51" s="8"/>
      <c r="H51" s="8"/>
    </row>
    <row r="52" spans="1:8">
      <c r="A52" s="9"/>
      <c r="C52" s="3"/>
      <c r="D52" s="8"/>
      <c r="E52" s="8"/>
      <c r="F52" s="8"/>
      <c r="G52" s="8"/>
      <c r="H52" s="8"/>
    </row>
    <row r="53" spans="1:8">
      <c r="A53" s="9"/>
      <c r="C53" s="3"/>
      <c r="D53" s="8"/>
      <c r="E53" s="8"/>
      <c r="F53" s="8"/>
      <c r="G53" s="8"/>
      <c r="H53" s="8"/>
    </row>
    <row r="54" spans="1:8">
      <c r="A54" s="9"/>
      <c r="C54" s="3"/>
      <c r="D54" s="8"/>
      <c r="E54" s="8"/>
      <c r="F54" s="8"/>
      <c r="G54" s="8"/>
      <c r="H54" s="8"/>
    </row>
    <row r="55" spans="1:8">
      <c r="A55" s="9"/>
      <c r="C55" s="3"/>
      <c r="D55" s="8"/>
      <c r="E55" s="8"/>
      <c r="F55" s="8"/>
      <c r="G55" s="8"/>
      <c r="H55" s="8"/>
    </row>
    <row r="56" spans="1:8">
      <c r="A56" s="9"/>
      <c r="C56" s="3"/>
      <c r="D56" s="8"/>
      <c r="E56" s="8"/>
      <c r="F56" s="8"/>
      <c r="G56" s="8"/>
      <c r="H56" s="8"/>
    </row>
    <row r="57" spans="1:8">
      <c r="A57" s="9"/>
      <c r="C57" s="3"/>
      <c r="D57" s="8"/>
      <c r="E57" s="8"/>
      <c r="F57" s="8"/>
      <c r="G57" s="8"/>
      <c r="H57" s="8"/>
    </row>
    <row r="58" spans="1:8">
      <c r="A58" s="9"/>
      <c r="C58" s="3"/>
      <c r="D58" s="8"/>
      <c r="E58" s="8"/>
      <c r="F58" s="8"/>
      <c r="G58" s="8"/>
      <c r="H58" s="8"/>
    </row>
    <row r="59" spans="1:8">
      <c r="A59" s="9"/>
      <c r="C59" s="3"/>
      <c r="D59" s="8"/>
      <c r="E59" s="8"/>
      <c r="F59" s="8"/>
      <c r="G59" s="8"/>
      <c r="H59" s="8"/>
    </row>
    <row r="60" spans="1:8">
      <c r="A60" s="9"/>
      <c r="C60" s="3"/>
      <c r="D60" s="8"/>
      <c r="E60" s="8"/>
      <c r="F60" s="8"/>
      <c r="G60" s="8"/>
      <c r="H60" s="8"/>
    </row>
    <row r="61" spans="1:8">
      <c r="A61" s="9"/>
      <c r="C61" s="3"/>
      <c r="D61" s="8"/>
      <c r="E61" s="8"/>
      <c r="F61" s="8"/>
      <c r="G61" s="8"/>
      <c r="H61" s="8"/>
    </row>
    <row r="62" spans="1:8">
      <c r="A62" s="9"/>
      <c r="C62" s="3"/>
      <c r="D62" s="8"/>
      <c r="E62" s="8"/>
      <c r="F62" s="8"/>
      <c r="G62" s="8"/>
      <c r="H62" s="8"/>
    </row>
    <row r="63" spans="1:8">
      <c r="A63" s="9"/>
      <c r="C63" s="3"/>
      <c r="D63" s="8"/>
      <c r="E63" s="8"/>
      <c r="F63" s="8"/>
      <c r="G63" s="8"/>
      <c r="H63" s="8"/>
    </row>
    <row r="64" spans="1:8">
      <c r="A64" s="9"/>
      <c r="C64" s="3"/>
      <c r="D64" s="8"/>
      <c r="E64" s="8"/>
      <c r="F64" s="8"/>
      <c r="G64" s="8"/>
      <c r="H64" s="8"/>
    </row>
    <row r="65" spans="1:8">
      <c r="A65" s="9"/>
      <c r="C65" s="3"/>
      <c r="D65" s="8"/>
      <c r="E65" s="8"/>
      <c r="F65" s="8"/>
      <c r="G65" s="8"/>
      <c r="H65" s="8"/>
    </row>
    <row r="66" spans="1:8">
      <c r="A66" s="9"/>
      <c r="C66" s="3"/>
      <c r="D66" s="8"/>
      <c r="E66" s="8"/>
      <c r="F66" s="8"/>
      <c r="G66" s="8"/>
      <c r="H66" s="8"/>
    </row>
    <row r="67" spans="1:8">
      <c r="A67" s="9"/>
      <c r="C67" s="3"/>
      <c r="D67" s="8"/>
      <c r="E67" s="8"/>
      <c r="F67" s="8"/>
      <c r="G67" s="8"/>
      <c r="H67" s="8"/>
    </row>
    <row r="68" spans="1:8">
      <c r="A68" s="9"/>
      <c r="C68" s="3"/>
      <c r="D68" s="8"/>
      <c r="E68" s="8"/>
      <c r="F68" s="8"/>
      <c r="G68" s="8"/>
      <c r="H68" s="8"/>
    </row>
    <row r="69" spans="1:8">
      <c r="A69" s="9"/>
      <c r="C69" s="3"/>
      <c r="D69" s="8"/>
      <c r="E69" s="8"/>
      <c r="F69" s="8"/>
      <c r="G69" s="8"/>
      <c r="H69" s="8"/>
    </row>
    <row r="70" spans="1:8">
      <c r="A70" s="9"/>
      <c r="C70" s="3"/>
      <c r="D70" s="8"/>
      <c r="E70" s="8"/>
      <c r="F70" s="8"/>
      <c r="G70" s="8"/>
      <c r="H70" s="8"/>
    </row>
    <row r="71" spans="1:8">
      <c r="A71" s="9"/>
      <c r="C71" s="3"/>
      <c r="D71" s="8"/>
      <c r="E71" s="8"/>
      <c r="F71" s="8"/>
      <c r="G71" s="8"/>
      <c r="H71" s="8"/>
    </row>
    <row r="72" spans="1:8">
      <c r="A72" s="9"/>
      <c r="C72" s="3"/>
      <c r="D72" s="8"/>
      <c r="E72" s="8"/>
      <c r="F72" s="8"/>
      <c r="G72" s="8"/>
      <c r="H72" s="8"/>
    </row>
    <row r="73" spans="1:8">
      <c r="A73" s="9"/>
      <c r="C73" s="3"/>
      <c r="D73" s="8"/>
      <c r="E73" s="8"/>
      <c r="F73" s="8"/>
      <c r="G73" s="8"/>
      <c r="H73" s="8"/>
    </row>
    <row r="74" spans="1:8">
      <c r="A74" s="9"/>
      <c r="C74" s="3"/>
      <c r="D74" s="8"/>
      <c r="E74" s="8"/>
      <c r="F74" s="8"/>
      <c r="G74" s="8"/>
      <c r="H74" s="8"/>
    </row>
    <row r="75" spans="1:8">
      <c r="A75" s="9"/>
      <c r="C75" s="3"/>
      <c r="D75" s="8"/>
      <c r="E75" s="8"/>
      <c r="F75" s="8"/>
      <c r="G75" s="8"/>
      <c r="H75" s="8"/>
    </row>
    <row r="76" spans="1:8">
      <c r="A76" s="9"/>
      <c r="C76" s="3"/>
      <c r="D76" s="8"/>
      <c r="E76" s="8"/>
      <c r="F76" s="8"/>
      <c r="G76" s="8"/>
      <c r="H76" s="8"/>
    </row>
    <row r="77" spans="1:8">
      <c r="A77" s="9"/>
      <c r="C77" s="3"/>
      <c r="D77" s="8"/>
      <c r="E77" s="8"/>
      <c r="F77" s="8"/>
      <c r="G77" s="8"/>
      <c r="H77" s="8"/>
    </row>
    <row r="78" spans="1:8">
      <c r="A78" s="9"/>
      <c r="C78" s="3"/>
      <c r="D78" s="8"/>
      <c r="E78" s="8"/>
      <c r="F78" s="8"/>
      <c r="G78" s="8"/>
      <c r="H78" s="8"/>
    </row>
    <row r="79" spans="1:8">
      <c r="A79" s="9"/>
      <c r="C79" s="3"/>
      <c r="D79" s="8"/>
      <c r="E79" s="8"/>
      <c r="F79" s="8"/>
      <c r="G79" s="8"/>
      <c r="H79" s="8"/>
    </row>
    <row r="80" spans="1:8">
      <c r="A80" s="9"/>
      <c r="C80" s="3"/>
      <c r="D80" s="8"/>
      <c r="E80" s="8"/>
      <c r="F80" s="8"/>
      <c r="G80" s="8"/>
      <c r="H80" s="8"/>
    </row>
    <row r="81" spans="1:8">
      <c r="A81" s="9"/>
      <c r="C81" s="3"/>
      <c r="D81" s="8"/>
      <c r="E81" s="8"/>
      <c r="F81" s="8"/>
      <c r="G81" s="8"/>
      <c r="H81" s="8"/>
    </row>
    <row r="82" spans="1:8">
      <c r="A82" s="9"/>
      <c r="C82" s="3"/>
      <c r="D82" s="8"/>
      <c r="E82" s="8"/>
      <c r="F82" s="8"/>
      <c r="G82" s="8"/>
      <c r="H82" s="8"/>
    </row>
    <row r="83" spans="1:8">
      <c r="A83" s="9"/>
      <c r="C83" s="3"/>
      <c r="D83" s="8"/>
      <c r="E83" s="8"/>
      <c r="F83" s="8"/>
      <c r="G83" s="8"/>
      <c r="H83" s="8"/>
    </row>
    <row r="84" spans="1:8">
      <c r="A84" s="9"/>
      <c r="C84" s="3"/>
      <c r="D84" s="8"/>
      <c r="E84" s="8"/>
      <c r="F84" s="8"/>
      <c r="G84" s="8"/>
      <c r="H84" s="8"/>
    </row>
    <row r="85" spans="1:8">
      <c r="A85" s="9"/>
      <c r="C85" s="3"/>
      <c r="D85" s="8"/>
      <c r="E85" s="8"/>
      <c r="F85" s="8"/>
      <c r="G85" s="8"/>
      <c r="H85" s="8"/>
    </row>
    <row r="86" spans="1:8">
      <c r="A86" s="9"/>
      <c r="C86" s="3"/>
      <c r="D86" s="8"/>
      <c r="E86" s="8"/>
      <c r="F86" s="8"/>
      <c r="G86" s="8"/>
      <c r="H86" s="8"/>
    </row>
    <row r="87" spans="1:8">
      <c r="A87" s="9"/>
      <c r="C87" s="3"/>
      <c r="D87" s="8"/>
      <c r="E87" s="8"/>
      <c r="F87" s="8"/>
      <c r="G87" s="8"/>
      <c r="H87" s="8"/>
    </row>
    <row r="88" spans="1:8">
      <c r="A88" s="9"/>
      <c r="C88" s="3"/>
      <c r="D88" s="8"/>
      <c r="E88" s="8"/>
      <c r="F88" s="8"/>
      <c r="G88" s="8"/>
      <c r="H88" s="8"/>
    </row>
    <row r="89" spans="1:8">
      <c r="A89" s="9"/>
      <c r="C89" s="3"/>
      <c r="D89" s="8"/>
      <c r="E89" s="8"/>
      <c r="F89" s="8"/>
      <c r="G89" s="8"/>
      <c r="H89" s="8"/>
    </row>
    <row r="90" spans="1:8">
      <c r="A90" s="9"/>
      <c r="C90" s="3"/>
      <c r="D90" s="8"/>
      <c r="E90" s="8"/>
      <c r="F90" s="8"/>
      <c r="G90" s="8"/>
      <c r="H90" s="8"/>
    </row>
    <row r="91" spans="1:8">
      <c r="A91" s="9"/>
      <c r="C91" s="3"/>
      <c r="D91" s="8"/>
      <c r="E91" s="8"/>
      <c r="F91" s="8"/>
      <c r="G91" s="8"/>
      <c r="H91" s="8"/>
    </row>
    <row r="92" spans="1:8">
      <c r="A92" s="9"/>
      <c r="C92" s="3"/>
      <c r="D92" s="8"/>
      <c r="E92" s="8"/>
      <c r="F92" s="8"/>
      <c r="G92" s="8"/>
      <c r="H92" s="8"/>
    </row>
    <row r="93" spans="1:8">
      <c r="A93" s="9"/>
    </row>
    <row r="94" spans="1:8">
      <c r="A94" s="10"/>
    </row>
    <row r="95" spans="1:8">
      <c r="A95" s="10"/>
    </row>
    <row r="96" spans="1:8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  <row r="108" spans="1:1">
      <c r="A108" s="10"/>
    </row>
    <row r="109" spans="1:1">
      <c r="A109" s="10"/>
    </row>
    <row r="110" spans="1:1">
      <c r="A110" s="10"/>
    </row>
    <row r="111" spans="1:1">
      <c r="A111" s="10"/>
    </row>
    <row r="112" spans="1:1">
      <c r="A112" s="10"/>
    </row>
    <row r="113" spans="1:1">
      <c r="A113" s="10"/>
    </row>
    <row r="114" spans="1:1">
      <c r="A114" s="10"/>
    </row>
    <row r="115" spans="1:1">
      <c r="A115" s="10"/>
    </row>
    <row r="116" spans="1:1">
      <c r="A116" s="10"/>
    </row>
    <row r="117" spans="1:1">
      <c r="A117" s="10"/>
    </row>
    <row r="118" spans="1:1">
      <c r="A118" s="10"/>
    </row>
    <row r="119" spans="1:1">
      <c r="A119" s="10"/>
    </row>
    <row r="120" spans="1:1">
      <c r="A120" s="10"/>
    </row>
    <row r="121" spans="1:1">
      <c r="A121" s="10"/>
    </row>
    <row r="122" spans="1:1">
      <c r="A122" s="10"/>
    </row>
    <row r="123" spans="1:1">
      <c r="A123" s="10"/>
    </row>
    <row r="124" spans="1:1">
      <c r="A124" s="10"/>
    </row>
    <row r="125" spans="1:1">
      <c r="A125" s="10"/>
    </row>
    <row r="126" spans="1:1">
      <c r="A126" s="10"/>
    </row>
    <row r="127" spans="1:1">
      <c r="A127" s="10"/>
    </row>
    <row r="128" spans="1:1">
      <c r="A128" s="10"/>
    </row>
    <row r="129" spans="1:1">
      <c r="A129" s="10"/>
    </row>
    <row r="130" spans="1:1">
      <c r="A130" s="10"/>
    </row>
    <row r="131" spans="1:1">
      <c r="A131" s="10"/>
    </row>
    <row r="132" spans="1:1">
      <c r="A132" s="10"/>
    </row>
    <row r="133" spans="1:1">
      <c r="A133" s="10"/>
    </row>
    <row r="134" spans="1:1">
      <c r="A134" s="10"/>
    </row>
    <row r="135" spans="1:1">
      <c r="A135" s="10"/>
    </row>
    <row r="136" spans="1:1">
      <c r="A136" s="10"/>
    </row>
    <row r="137" spans="1:1">
      <c r="A137" s="10"/>
    </row>
    <row r="138" spans="1:1">
      <c r="A138" s="10"/>
    </row>
    <row r="139" spans="1:1">
      <c r="A139" s="10"/>
    </row>
    <row r="140" spans="1:1">
      <c r="A140" s="10"/>
    </row>
    <row r="141" spans="1:1">
      <c r="A141" s="10"/>
    </row>
    <row r="142" spans="1:1">
      <c r="A142" s="10"/>
    </row>
    <row r="143" spans="1:1">
      <c r="A143" s="10"/>
    </row>
    <row r="144" spans="1:1">
      <c r="A144" s="10"/>
    </row>
    <row r="145" spans="1:1">
      <c r="A145" s="10"/>
    </row>
    <row r="146" spans="1:1">
      <c r="A146" s="10"/>
    </row>
    <row r="147" spans="1:1">
      <c r="A147" s="10"/>
    </row>
    <row r="148" spans="1:1">
      <c r="A148" s="10"/>
    </row>
    <row r="149" spans="1:1">
      <c r="A149" s="10"/>
    </row>
    <row r="150" spans="1:1">
      <c r="A150" s="10"/>
    </row>
    <row r="151" spans="1:1">
      <c r="A151" s="10"/>
    </row>
    <row r="152" spans="1:1">
      <c r="A152" s="10"/>
    </row>
    <row r="153" spans="1:1">
      <c r="A153" s="10"/>
    </row>
    <row r="154" spans="1:1">
      <c r="A154" s="10"/>
    </row>
    <row r="155" spans="1:1">
      <c r="A155" s="10"/>
    </row>
    <row r="156" spans="1:1">
      <c r="A156" s="10"/>
    </row>
    <row r="157" spans="1:1">
      <c r="A157" s="10"/>
    </row>
    <row r="158" spans="1:1">
      <c r="A158" s="10"/>
    </row>
    <row r="159" spans="1:1">
      <c r="A159" s="10"/>
    </row>
    <row r="160" spans="1:1">
      <c r="A160" s="10"/>
    </row>
    <row r="161" spans="1:1">
      <c r="A161" s="10"/>
    </row>
    <row r="162" spans="1:1">
      <c r="A162" s="10"/>
    </row>
    <row r="163" spans="1:1">
      <c r="A163" s="10"/>
    </row>
    <row r="164" spans="1:1">
      <c r="A164" s="10"/>
    </row>
    <row r="165" spans="1:1">
      <c r="A165" s="10"/>
    </row>
    <row r="166" spans="1:1">
      <c r="A166" s="10"/>
    </row>
    <row r="167" spans="1:1">
      <c r="A167" s="10"/>
    </row>
    <row r="168" spans="1:1">
      <c r="A168" s="10"/>
    </row>
    <row r="169" spans="1:1">
      <c r="A169" s="10"/>
    </row>
    <row r="170" spans="1:1">
      <c r="A170" s="10"/>
    </row>
    <row r="171" spans="1:1">
      <c r="A171" s="10"/>
    </row>
    <row r="172" spans="1:1">
      <c r="A172" s="10"/>
    </row>
    <row r="173" spans="1:1">
      <c r="A173" s="10"/>
    </row>
    <row r="174" spans="1:1">
      <c r="A174" s="10"/>
    </row>
    <row r="175" spans="1:1">
      <c r="A175" s="10"/>
    </row>
    <row r="176" spans="1:1">
      <c r="A176" s="10"/>
    </row>
    <row r="177" spans="1:1">
      <c r="A177" s="10"/>
    </row>
    <row r="178" spans="1:1">
      <c r="A178" s="10"/>
    </row>
    <row r="179" spans="1:1">
      <c r="A179" s="10"/>
    </row>
    <row r="180" spans="1:1">
      <c r="A180" s="10"/>
    </row>
    <row r="181" spans="1:1">
      <c r="A181" s="10"/>
    </row>
    <row r="182" spans="1:1">
      <c r="A182" s="10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10"/>
    </row>
    <row r="188" spans="1:1">
      <c r="A188" s="10"/>
    </row>
    <row r="189" spans="1:1">
      <c r="A189" s="10"/>
    </row>
    <row r="190" spans="1:1">
      <c r="A190" s="10"/>
    </row>
    <row r="191" spans="1:1">
      <c r="A191" s="10"/>
    </row>
    <row r="192" spans="1:1">
      <c r="A192" s="10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10"/>
    </row>
    <row r="198" spans="1:1">
      <c r="A198" s="10"/>
    </row>
    <row r="199" spans="1:1">
      <c r="A199" s="10"/>
    </row>
    <row r="200" spans="1:1">
      <c r="A200" s="10"/>
    </row>
    <row r="201" spans="1:1">
      <c r="A201" s="10"/>
    </row>
    <row r="202" spans="1:1">
      <c r="A202" s="10"/>
    </row>
    <row r="203" spans="1:1">
      <c r="A203" s="10"/>
    </row>
    <row r="204" spans="1:1">
      <c r="A204" s="10"/>
    </row>
    <row r="205" spans="1:1">
      <c r="A205" s="10"/>
    </row>
    <row r="206" spans="1:1">
      <c r="A206" s="10"/>
    </row>
    <row r="207" spans="1:1">
      <c r="A207" s="10"/>
    </row>
    <row r="208" spans="1:1">
      <c r="A208" s="10"/>
    </row>
    <row r="209" spans="1:1">
      <c r="A209" s="10"/>
    </row>
    <row r="210" spans="1:1">
      <c r="A210" s="10"/>
    </row>
    <row r="211" spans="1:1">
      <c r="A211" s="10"/>
    </row>
    <row r="212" spans="1:1">
      <c r="A212" s="10"/>
    </row>
    <row r="213" spans="1:1">
      <c r="A213" s="10"/>
    </row>
    <row r="214" spans="1:1">
      <c r="A214" s="10"/>
    </row>
    <row r="215" spans="1:1">
      <c r="A215" s="10"/>
    </row>
    <row r="216" spans="1:1">
      <c r="A216" s="10"/>
    </row>
    <row r="217" spans="1:1">
      <c r="A217" s="10"/>
    </row>
    <row r="218" spans="1:1">
      <c r="A218" s="10"/>
    </row>
    <row r="219" spans="1:1">
      <c r="A219" s="10"/>
    </row>
    <row r="220" spans="1:1">
      <c r="A220" s="10"/>
    </row>
    <row r="221" spans="1:1">
      <c r="A221" s="10"/>
    </row>
    <row r="222" spans="1:1">
      <c r="A222" s="10"/>
    </row>
    <row r="223" spans="1:1">
      <c r="A223" s="10"/>
    </row>
    <row r="224" spans="1:1">
      <c r="A224" s="10"/>
    </row>
    <row r="225" spans="1:1">
      <c r="A225" s="10"/>
    </row>
    <row r="226" spans="1:1">
      <c r="A226" s="10"/>
    </row>
    <row r="227" spans="1:1">
      <c r="A227" s="10"/>
    </row>
    <row r="228" spans="1:1">
      <c r="A228" s="10"/>
    </row>
    <row r="229" spans="1:1">
      <c r="A229" s="10"/>
    </row>
    <row r="230" spans="1:1">
      <c r="A230" s="10"/>
    </row>
    <row r="231" spans="1:1">
      <c r="A231" s="10"/>
    </row>
    <row r="232" spans="1:1">
      <c r="A232" s="10"/>
    </row>
    <row r="233" spans="1:1">
      <c r="A233" s="10"/>
    </row>
    <row r="234" spans="1:1">
      <c r="A234" s="10"/>
    </row>
    <row r="235" spans="1:1">
      <c r="A235" s="10"/>
    </row>
    <row r="236" spans="1:1">
      <c r="A236" s="10"/>
    </row>
    <row r="237" spans="1:1">
      <c r="A237" s="10"/>
    </row>
    <row r="238" spans="1:1">
      <c r="A238" s="10"/>
    </row>
    <row r="239" spans="1:1">
      <c r="A239" s="10"/>
    </row>
    <row r="240" spans="1:1">
      <c r="A240" s="10"/>
    </row>
    <row r="241" spans="1:1">
      <c r="A241" s="10"/>
    </row>
    <row r="242" spans="1:1">
      <c r="A242" s="10"/>
    </row>
    <row r="243" spans="1:1">
      <c r="A243" s="10"/>
    </row>
    <row r="244" spans="1:1">
      <c r="A244" s="10"/>
    </row>
    <row r="245" spans="1:1">
      <c r="A245" s="10"/>
    </row>
    <row r="246" spans="1:1">
      <c r="A246" s="10"/>
    </row>
    <row r="247" spans="1:1">
      <c r="A247" s="10"/>
    </row>
    <row r="248" spans="1:1">
      <c r="A248" s="10"/>
    </row>
    <row r="249" spans="1:1">
      <c r="A249" s="10"/>
    </row>
    <row r="250" spans="1:1">
      <c r="A250" s="10"/>
    </row>
    <row r="251" spans="1:1">
      <c r="A251" s="10"/>
    </row>
    <row r="252" spans="1:1">
      <c r="A252" s="10"/>
    </row>
    <row r="253" spans="1:1">
      <c r="A253" s="10"/>
    </row>
    <row r="254" spans="1:1">
      <c r="A254" s="10"/>
    </row>
    <row r="255" spans="1:1">
      <c r="A255" s="10"/>
    </row>
    <row r="256" spans="1:1">
      <c r="A256" s="10"/>
    </row>
    <row r="257" spans="1:1">
      <c r="A257" s="10"/>
    </row>
    <row r="258" spans="1:1">
      <c r="A258" s="10"/>
    </row>
    <row r="259" spans="1:1">
      <c r="A259" s="10"/>
    </row>
    <row r="260" spans="1:1">
      <c r="A260" s="10"/>
    </row>
  </sheetData>
  <sheetProtection algorithmName="SHA-512" hashValue="KWpid7f9NY3+7FuPCSNxGVOh3sYgLfdlpQoE0cS5jNgskxnshkdpVxZ8SjMIbHHA5PQuId9DbWyAjyG4EhB24g==" saltValue="v6eN0J/2L1mPyG4fYtJUvg==" spinCount="100000" sheet="1" objects="1" scenarios="1" selectLockedCells="1" selectUnlockedCells="1"/>
  <mergeCells count="13">
    <mergeCell ref="G37:I37"/>
    <mergeCell ref="G38:I38"/>
    <mergeCell ref="A1:H1"/>
    <mergeCell ref="A3:A4"/>
    <mergeCell ref="B3:B4"/>
    <mergeCell ref="C3:C4"/>
    <mergeCell ref="D3:D4"/>
    <mergeCell ref="E3:E4"/>
    <mergeCell ref="F3:F4"/>
    <mergeCell ref="G3:J3"/>
    <mergeCell ref="I2:J2"/>
    <mergeCell ref="C37:E37"/>
    <mergeCell ref="C38:E38"/>
  </mergeCells>
  <pageMargins left="0.59055118110236227" right="0.59055118110236227" top="0.56999999999999995" bottom="0.2" header="0.15748031496062992" footer="0.15748031496062992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26"/>
  <sheetViews>
    <sheetView view="pageBreakPreview" zoomScale="55" zoomScaleNormal="75" zoomScaleSheetLayoutView="55" workbookViewId="0">
      <selection activeCell="A4" sqref="A1:XFD1048576"/>
    </sheetView>
  </sheetViews>
  <sheetFormatPr defaultColWidth="9.109375" defaultRowHeight="13.2"/>
  <cols>
    <col min="1" max="1" width="101.109375" style="439" customWidth="1"/>
    <col min="2" max="2" width="19.44140625" style="439" customWidth="1"/>
    <col min="3" max="3" width="25" style="439" customWidth="1"/>
    <col min="4" max="4" width="20.6640625" style="439" customWidth="1"/>
    <col min="5" max="5" width="22.109375" style="439" customWidth="1"/>
    <col min="6" max="6" width="21" style="439" customWidth="1"/>
    <col min="7" max="7" width="24.44140625" style="439" customWidth="1"/>
    <col min="8" max="8" width="84.33203125" style="439" customWidth="1"/>
    <col min="9" max="9" width="9.5546875" style="439" customWidth="1"/>
    <col min="10" max="16384" width="9.109375" style="439"/>
  </cols>
  <sheetData>
    <row r="1" spans="1:8" ht="24.75" customHeight="1">
      <c r="H1" s="429" t="s">
        <v>345</v>
      </c>
    </row>
    <row r="2" spans="1:8" ht="25.5" customHeight="1">
      <c r="A2" s="542" t="s">
        <v>144</v>
      </c>
      <c r="B2" s="542"/>
      <c r="C2" s="542"/>
      <c r="D2" s="542"/>
      <c r="E2" s="542"/>
      <c r="F2" s="542"/>
      <c r="G2" s="542"/>
      <c r="H2" s="542"/>
    </row>
    <row r="3" spans="1:8" ht="16.5" customHeight="1"/>
    <row r="4" spans="1:8" ht="45" customHeight="1">
      <c r="A4" s="543" t="s">
        <v>163</v>
      </c>
      <c r="B4" s="543" t="s">
        <v>0</v>
      </c>
      <c r="C4" s="543" t="s">
        <v>80</v>
      </c>
      <c r="D4" s="538" t="s">
        <v>668</v>
      </c>
      <c r="E4" s="538" t="s">
        <v>669</v>
      </c>
      <c r="F4" s="548" t="s">
        <v>670</v>
      </c>
      <c r="G4" s="540" t="s">
        <v>653</v>
      </c>
      <c r="H4" s="543" t="s">
        <v>81</v>
      </c>
    </row>
    <row r="5" spans="1:8" ht="59.25" customHeight="1">
      <c r="A5" s="544"/>
      <c r="B5" s="544"/>
      <c r="C5" s="544"/>
      <c r="D5" s="539"/>
      <c r="E5" s="539"/>
      <c r="F5" s="549"/>
      <c r="G5" s="540"/>
      <c r="H5" s="544"/>
    </row>
    <row r="6" spans="1:8" s="2" customFormat="1" ht="18" customHeight="1">
      <c r="A6" s="440">
        <v>1</v>
      </c>
      <c r="B6" s="440">
        <v>2</v>
      </c>
      <c r="C6" s="440">
        <v>3</v>
      </c>
      <c r="D6" s="440">
        <v>4</v>
      </c>
      <c r="E6" s="440">
        <v>5</v>
      </c>
      <c r="F6" s="440">
        <v>6</v>
      </c>
      <c r="G6" s="440">
        <v>7</v>
      </c>
      <c r="H6" s="440">
        <v>8</v>
      </c>
    </row>
    <row r="7" spans="1:8" s="2" customFormat="1" ht="35.25" customHeight="1">
      <c r="A7" s="441" t="s">
        <v>122</v>
      </c>
      <c r="B7" s="441"/>
      <c r="C7" s="440"/>
      <c r="D7" s="440"/>
      <c r="E7" s="440"/>
      <c r="F7" s="440"/>
      <c r="G7" s="440"/>
      <c r="H7" s="440"/>
    </row>
    <row r="8" spans="1:8" ht="66" customHeight="1">
      <c r="A8" s="166" t="s">
        <v>315</v>
      </c>
      <c r="B8" s="412">
        <v>5000</v>
      </c>
      <c r="C8" s="442" t="s">
        <v>182</v>
      </c>
      <c r="D8" s="443">
        <f>('Осн. фін. пок.'!C53/'Осн. фін. пок.'!C51)*100</f>
        <v>15.4</v>
      </c>
      <c r="E8" s="443">
        <f>('Осн. фін. пок.'!D53/'Осн. фін. пок.'!D51)*100</f>
        <v>15.3</v>
      </c>
      <c r="F8" s="443">
        <f>('Осн. фін. пок.'!E53/'Осн. фін. пок.'!E51)*100</f>
        <v>14.5</v>
      </c>
      <c r="G8" s="443">
        <f>('Осн. фін. пок.'!F53/'Осн. фін. пок.'!F51)*100</f>
        <v>11.3</v>
      </c>
      <c r="H8" s="444"/>
    </row>
    <row r="9" spans="1:8" ht="66" customHeight="1">
      <c r="A9" s="166" t="s">
        <v>316</v>
      </c>
      <c r="B9" s="412">
        <v>5010</v>
      </c>
      <c r="C9" s="442" t="s">
        <v>182</v>
      </c>
      <c r="D9" s="443">
        <f>('Осн. фін. пок.'!C59/'Осн. фін. пок.'!C51)*100</f>
        <v>11.8</v>
      </c>
      <c r="E9" s="443">
        <f>('Осн. фін. пок.'!D59/'Осн. фін. пок.'!D51)*100</f>
        <v>10.199999999999999</v>
      </c>
      <c r="F9" s="443">
        <f>('Осн. фін. пок.'!E59/'Осн. фін. пок.'!E51)*100</f>
        <v>11.2</v>
      </c>
      <c r="G9" s="443">
        <f>('Осн. фін. пок.'!F59/'Осн. фін. пок.'!F51)*100</f>
        <v>6.1</v>
      </c>
      <c r="H9" s="444"/>
    </row>
    <row r="10" spans="1:8" ht="51" customHeight="1">
      <c r="A10" s="445" t="s">
        <v>318</v>
      </c>
      <c r="B10" s="412">
        <v>5020</v>
      </c>
      <c r="C10" s="442" t="s">
        <v>182</v>
      </c>
      <c r="D10" s="443">
        <f>('Осн. фін. пок.'!C72/'Осн. фін. пок.'!C103)*100</f>
        <v>6.3</v>
      </c>
      <c r="E10" s="443">
        <f>('Осн. фін. пок.'!D72/'Осн. фін. пок.'!D103)*100</f>
        <v>4.7</v>
      </c>
      <c r="F10" s="443">
        <f>('Осн. фін. пок.'!E72/'Осн. фін. пок.'!E103)*100</f>
        <v>4.9000000000000004</v>
      </c>
      <c r="G10" s="443">
        <f>('Осн. фін. пок.'!F72/'Осн. фін. пок.'!F103)*100</f>
        <v>0.4</v>
      </c>
      <c r="H10" s="444" t="s">
        <v>183</v>
      </c>
    </row>
    <row r="11" spans="1:8" ht="51" customHeight="1">
      <c r="A11" s="445" t="s">
        <v>390</v>
      </c>
      <c r="B11" s="412">
        <v>5030</v>
      </c>
      <c r="C11" s="442" t="s">
        <v>182</v>
      </c>
      <c r="D11" s="443">
        <f>('Осн. фін. пок.'!C72/'Осн. фін. пок.'!C104)*100</f>
        <v>7.7</v>
      </c>
      <c r="E11" s="443">
        <f>('Осн. фін. пок.'!D72/'Осн. фін. пок.'!D104)*100</f>
        <v>5.6</v>
      </c>
      <c r="F11" s="443">
        <f>('Осн. фін. пок.'!E72/'Осн. фін. пок.'!E104)*100</f>
        <v>5.8</v>
      </c>
      <c r="G11" s="443">
        <f>('Осн. фін. пок.'!F72/'Осн. фін. пок.'!F104)*100</f>
        <v>0.5</v>
      </c>
      <c r="H11" s="444"/>
    </row>
    <row r="12" spans="1:8" ht="60" customHeight="1">
      <c r="A12" s="445" t="s">
        <v>317</v>
      </c>
      <c r="B12" s="412">
        <v>5040</v>
      </c>
      <c r="C12" s="442" t="s">
        <v>182</v>
      </c>
      <c r="D12" s="443">
        <f>('Осн. фін. пок.'!C72/'Осн. фін. пок.'!C51)*100</f>
        <v>4.5999999999999996</v>
      </c>
      <c r="E12" s="443">
        <f>('Осн. фін. пок.'!D72/'Осн. фін. пок.'!D51)*100</f>
        <v>3.9</v>
      </c>
      <c r="F12" s="443">
        <f>('Осн. фін. пок.'!E72/'Осн. фін. пок.'!E51)*100</f>
        <v>3.8</v>
      </c>
      <c r="G12" s="443">
        <f>('Осн. фін. пок.'!F72/'Осн. фін. пок.'!F51)*100</f>
        <v>0.3</v>
      </c>
      <c r="H12" s="444" t="s">
        <v>184</v>
      </c>
    </row>
    <row r="13" spans="1:8" ht="38.25" customHeight="1">
      <c r="A13" s="441" t="s">
        <v>124</v>
      </c>
      <c r="B13" s="412"/>
      <c r="C13" s="446"/>
      <c r="D13" s="443"/>
      <c r="E13" s="443"/>
      <c r="F13" s="443"/>
      <c r="G13" s="443"/>
      <c r="H13" s="444"/>
    </row>
    <row r="14" spans="1:8" ht="65.25" customHeight="1">
      <c r="A14" s="447" t="s">
        <v>391</v>
      </c>
      <c r="B14" s="412">
        <v>5100</v>
      </c>
      <c r="C14" s="442"/>
      <c r="D14" s="443">
        <f>('Осн. фін. пок.'!C105+'Осн. фін. пок.'!C106)/'Осн. фін. пок.'!C59</f>
        <v>1.1000000000000001</v>
      </c>
      <c r="E14" s="443">
        <f>('Осн. фін. пок.'!D105+'Осн. фін. пок.'!D106)/'Осн. фін. пок.'!D59</f>
        <v>1.3</v>
      </c>
      <c r="F14" s="443">
        <f>('Осн. фін. пок.'!E105+'Осн. фін. пок.'!E106)/'Осн. фін. пок.'!E59</f>
        <v>1</v>
      </c>
      <c r="G14" s="443">
        <f>('Осн. фін. пок.'!F105+'Осн. фін. пок.'!F106)/'Осн. фін. пок.'!F59</f>
        <v>1.3</v>
      </c>
      <c r="H14" s="444"/>
    </row>
    <row r="15" spans="1:8" s="2" customFormat="1" ht="66" customHeight="1">
      <c r="A15" s="447" t="s">
        <v>392</v>
      </c>
      <c r="B15" s="412">
        <v>5110</v>
      </c>
      <c r="C15" s="442" t="s">
        <v>119</v>
      </c>
      <c r="D15" s="443">
        <f>'Осн. фін. пок.'!C104/('Осн. фін. пок.'!C105+'Осн. фін. пок.'!C106)</f>
        <v>4.5999999999999996</v>
      </c>
      <c r="E15" s="443">
        <f>'Осн. фін. пок.'!D104/('Осн. фін. пок.'!D105+'Осн. фін. пок.'!D106)</f>
        <v>5.3</v>
      </c>
      <c r="F15" s="443">
        <f>'Осн. фін. пок.'!E104/('Осн. фін. пок.'!E105+'Осн. фін. пок.'!E106)</f>
        <v>5.6</v>
      </c>
      <c r="G15" s="443">
        <f>'Осн. фін. пок.'!F104/('Осн. фін. пок.'!F105+'Осн. фін. пок.'!F106)</f>
        <v>8.1</v>
      </c>
      <c r="H15" s="444" t="s">
        <v>185</v>
      </c>
    </row>
    <row r="16" spans="1:8" s="2" customFormat="1" ht="62.25" customHeight="1">
      <c r="A16" s="447" t="s">
        <v>393</v>
      </c>
      <c r="B16" s="412">
        <v>5120</v>
      </c>
      <c r="C16" s="442" t="s">
        <v>119</v>
      </c>
      <c r="D16" s="443">
        <f>'Осн. фін. пок.'!C101/'Осн. фін. пок.'!C106</f>
        <v>3.2</v>
      </c>
      <c r="E16" s="443">
        <f>'Осн. фін. пок.'!D101/'Осн. фін. пок.'!D106</f>
        <v>3.7</v>
      </c>
      <c r="F16" s="443">
        <f>'Осн. фін. пок.'!E101/'Осн. фін. пок.'!E106</f>
        <v>3.8</v>
      </c>
      <c r="G16" s="443">
        <f>'Осн. фін. пок.'!F101/'Осн. фін. пок.'!F106</f>
        <v>5.7</v>
      </c>
      <c r="H16" s="444" t="s">
        <v>187</v>
      </c>
    </row>
    <row r="17" spans="1:10" ht="33.75" customHeight="1">
      <c r="A17" s="441" t="s">
        <v>123</v>
      </c>
      <c r="B17" s="412"/>
      <c r="C17" s="442"/>
      <c r="D17" s="443"/>
      <c r="E17" s="443"/>
      <c r="F17" s="443"/>
      <c r="G17" s="443"/>
      <c r="H17" s="444"/>
    </row>
    <row r="18" spans="1:10" ht="52.5" customHeight="1">
      <c r="A18" s="447" t="s">
        <v>307</v>
      </c>
      <c r="B18" s="412">
        <v>5200</v>
      </c>
      <c r="C18" s="442"/>
      <c r="D18" s="443">
        <f>'IV. Кап. інвестиції'!C7/'I. Фін результат'!C93</f>
        <v>1.1000000000000001</v>
      </c>
      <c r="E18" s="443">
        <f>'IV. Кап. інвестиції'!D7/'I. Фін результат'!D93</f>
        <v>1.3</v>
      </c>
      <c r="F18" s="443">
        <f>'IV. Кап. інвестиції'!E7/'I. Фін результат'!E93</f>
        <v>1</v>
      </c>
      <c r="G18" s="443">
        <f>'IV. Кап. інвестиції'!F7/'I. Фін результат'!F93</f>
        <v>0</v>
      </c>
      <c r="H18" s="444"/>
    </row>
    <row r="19" spans="1:10" ht="83.25" customHeight="1">
      <c r="A19" s="447" t="s">
        <v>308</v>
      </c>
      <c r="B19" s="412">
        <v>5210</v>
      </c>
      <c r="C19" s="442"/>
      <c r="D19" s="448">
        <f>'Осн. фін. пок.'!C89/'Осн. фін. пок.'!C51</f>
        <v>0.1</v>
      </c>
      <c r="E19" s="448">
        <f>'Осн. фін. пок.'!D89/'Осн. фін. пок.'!D51</f>
        <v>0.1</v>
      </c>
      <c r="F19" s="448">
        <f>'Осн. фін. пок.'!E89/'Осн. фін. пок.'!E51</f>
        <v>0.1</v>
      </c>
      <c r="G19" s="448">
        <f>'Осн. фін. пок.'!F89/'Осн. фін. пок.'!F51</f>
        <v>0</v>
      </c>
      <c r="H19" s="444"/>
    </row>
    <row r="20" spans="1:10" ht="55.5" customHeight="1">
      <c r="A20" s="447" t="s">
        <v>309</v>
      </c>
      <c r="B20" s="412">
        <v>5220</v>
      </c>
      <c r="C20" s="442" t="s">
        <v>267</v>
      </c>
      <c r="D20" s="443">
        <f>'Осн. фін. пок.'!C100/'Осн. фін. пок.'!C99</f>
        <v>0.5</v>
      </c>
      <c r="E20" s="443">
        <f>'Осн. фін. пок.'!D100/'Осн. фін. пок.'!D99</f>
        <v>0.5</v>
      </c>
      <c r="F20" s="443">
        <f>'Осн. фін. пок.'!E100/'Осн. фін. пок.'!E99</f>
        <v>0.5</v>
      </c>
      <c r="G20" s="443">
        <f>'Осн. фін. пок.'!F100/'Осн. фін. пок.'!F99</f>
        <v>0.6</v>
      </c>
      <c r="H20" s="444" t="s">
        <v>186</v>
      </c>
    </row>
    <row r="21" spans="1:10" ht="34.5" customHeight="1">
      <c r="A21" s="441" t="s">
        <v>169</v>
      </c>
      <c r="B21" s="412"/>
      <c r="C21" s="442"/>
      <c r="D21" s="443"/>
      <c r="E21" s="443"/>
      <c r="F21" s="443"/>
      <c r="G21" s="443"/>
      <c r="H21" s="444"/>
    </row>
    <row r="22" spans="1:10" ht="61.5" customHeight="1">
      <c r="A22" s="445" t="s">
        <v>193</v>
      </c>
      <c r="B22" s="412">
        <v>5300</v>
      </c>
      <c r="C22" s="442"/>
      <c r="D22" s="443"/>
      <c r="E22" s="443"/>
      <c r="F22" s="443"/>
      <c r="G22" s="443"/>
      <c r="H22" s="444"/>
    </row>
    <row r="23" spans="1:10" ht="14.25" customHeight="1"/>
    <row r="24" spans="1:10" ht="20.100000000000001" customHeight="1">
      <c r="I24" s="449"/>
      <c r="J24" s="449"/>
    </row>
    <row r="25" spans="1:10" s="1" customFormat="1" ht="20.100000000000001" customHeight="1">
      <c r="A25" s="450" t="s">
        <v>510</v>
      </c>
      <c r="B25" s="451"/>
      <c r="C25" s="452"/>
      <c r="D25" s="545" t="s">
        <v>84</v>
      </c>
      <c r="E25" s="546"/>
      <c r="F25" s="546"/>
      <c r="G25" s="546"/>
      <c r="H25" s="453" t="s">
        <v>546</v>
      </c>
      <c r="I25" s="160"/>
      <c r="J25" s="160"/>
    </row>
    <row r="26" spans="1:10" s="459" customFormat="1" ht="20.100000000000001" customHeight="1">
      <c r="A26" s="454" t="s">
        <v>68</v>
      </c>
      <c r="B26" s="455"/>
      <c r="C26" s="456"/>
      <c r="D26" s="547" t="s">
        <v>69</v>
      </c>
      <c r="E26" s="547"/>
      <c r="F26" s="547"/>
      <c r="G26" s="547"/>
      <c r="H26" s="457" t="s">
        <v>160</v>
      </c>
      <c r="I26" s="458"/>
      <c r="J26" s="458"/>
    </row>
  </sheetData>
  <sheetProtection algorithmName="SHA-512" hashValue="Z6tHhptLD/QHsO2hbHLqKnEKBe4oV0Co9NpvzVU5kd8X+L9UXYLTq5zU2/T82nfBkYPABYe8zyAlbcUkFMRO6A==" saltValue="U0ZUeLNDJLaIe1cilHFTow==" spinCount="100000" sheet="1" objects="1" scenarios="1" selectLockedCells="1" selectUnlockedCells="1"/>
  <mergeCells count="11">
    <mergeCell ref="A2:H2"/>
    <mergeCell ref="H4:H5"/>
    <mergeCell ref="D25:G25"/>
    <mergeCell ref="D26:G26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59055118110236227" header="0.47244094488188981" footer="0.31496062992125984"/>
  <pageSetup paperSize="9" scale="43" orientation="landscape" r:id="rId1"/>
  <headerFooter alignWithMargins="0"/>
  <ignoredErrors>
    <ignoredError sqref="D8:D10 D12:D14 D16:D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21</vt:i4>
      </vt:variant>
    </vt:vector>
  </HeadingPairs>
  <TitlesOfParts>
    <vt:vector size="36" baseType="lpstr">
      <vt:lpstr>Осн. фін. пок.</vt:lpstr>
      <vt:lpstr>I. Фін результат</vt:lpstr>
      <vt:lpstr>Розшифровка до Формування</vt:lpstr>
      <vt:lpstr>ІІ. Розр. з бюджетом</vt:lpstr>
      <vt:lpstr>ІІІ. Рух грош. коштів</vt:lpstr>
      <vt:lpstr>Розшифровка до Руху</vt:lpstr>
      <vt:lpstr>IV. Кап. інвестиції</vt:lpstr>
      <vt:lpstr>Розшифровка кап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кредити</vt:lpstr>
      <vt:lpstr>Аналіз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Руху'!Заголовки_для_печати</vt:lpstr>
      <vt:lpstr>'Розшифровка до Формування'!Заголовки_для_печати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Аналіз!Область_печати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Руху'!Область_печати</vt:lpstr>
      <vt:lpstr>'Розшифровка до Формування'!Область_печати</vt:lpstr>
      <vt:lpstr>'Розшифровка кап'!Область_печати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2025-12-29T14:14:51Z</cp:lastPrinted>
  <dcterms:created xsi:type="dcterms:W3CDTF">2003-03-13T16:00:22Z</dcterms:created>
  <dcterms:modified xsi:type="dcterms:W3CDTF">2026-01-22T13:05:53Z</dcterms:modified>
</cp:coreProperties>
</file>